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bookViews>
    <workbookView xWindow="-15" yWindow="2745" windowWidth="20520" windowHeight="2760"/>
  </bookViews>
  <sheets>
    <sheet name="Introduction" sheetId="4" r:id="rId1"/>
    <sheet name="Méthode" sheetId="1" r:id="rId2"/>
    <sheet name="Graphiques diagnostiques" sheetId="2" r:id="rId3"/>
  </sheets>
  <externalReferences>
    <externalReference r:id="rId4"/>
    <externalReference r:id="rId5"/>
  </externalReferences>
  <definedNames>
    <definedName name="__123Graph_A" hidden="1">'[1]Deadkids correction to CEB'!$Z$26:$Z$42</definedName>
    <definedName name="__123Graph_AADJUST" hidden="1">'[1]Deadkids correction to CEB'!$Z$26:$Z$42</definedName>
    <definedName name="__123Graph_ACOMPARE" hidden="1">'[1]Deadkids correction to CEB'!$X$3:$X$18</definedName>
    <definedName name="__123Graph_B" hidden="1">'[1]Deadkids correction to CEB'!$AC$26:$AC$42</definedName>
    <definedName name="__123Graph_BADJUST" hidden="1">'[1]Deadkids correction to CEB'!$AC$26:$AC$42</definedName>
    <definedName name="__123Graph_BCOMPARE" hidden="1">'[1]Deadkids correction to CEB'!$Y$3:$Y$19</definedName>
    <definedName name="__123Graph_C" hidden="1">'[1]Deadkids correction to CEB'!$AA$26:$AA$60</definedName>
    <definedName name="__123Graph_CADJUST" hidden="1">'[1]Deadkids correction to CEB'!$AA$26:$AA$60</definedName>
    <definedName name="__123Graph_CCOMPARE" hidden="1">'[1]Deadkids correction to CEB'!$X$3:$X$9</definedName>
    <definedName name="__123Graph_DCOMPARE" hidden="1">'[1]Deadkids correction to CEB'!$Y$3:$Y$9</definedName>
    <definedName name="__123Graph_F" hidden="1">'[1]Deadkids correction to CEB'!$AE$26:$AE$49</definedName>
    <definedName name="__123Graph_FADJUST" hidden="1">'[1]Deadkids correction to CEB'!$AE$26:$AE$49</definedName>
    <definedName name="__123Graph_LBL_A" hidden="1">'[1]Deadkids correction to CEB'!$AB$26:$AB$42</definedName>
    <definedName name="__123Graph_LBL_AADJUST" hidden="1">'[1]Deadkids correction to CEB'!$AB$26:$AB$42</definedName>
    <definedName name="__123Graph_LBL_ACOMPARE" hidden="1">'[1]Deadkids correction to CEB'!$V$3:$V$19</definedName>
    <definedName name="__123Graph_LBL_CCOMPARE" hidden="1">'[1]Deadkids correction to CEB'!$V$3:$V$9</definedName>
    <definedName name="__123Graph_LBL_F" hidden="1">'[1]Deadkids correction to CEB'!$AF$26:$AF$49</definedName>
    <definedName name="__123Graph_LBL_FADJUST" hidden="1">'[1]Deadkids correction to CEB'!$AF$26:$AF$49</definedName>
    <definedName name="__123Graph_X" hidden="1">'[1]Deadkids correction to CEB'!$Y$26:$Y$60</definedName>
    <definedName name="__123Graph_XADJUST" hidden="1">'[1]Deadkids correction to CEB'!$Y$26:$Y$60</definedName>
    <definedName name="__123Graph_XCOMPARE" hidden="1">'[1]Deadkids correction to CEB'!$W$3:$W$19</definedName>
    <definedName name="_Key1" hidden="1">#REF!</definedName>
    <definedName name="_Order1" hidden="1">255</definedName>
    <definedName name="_Sort" hidden="1">#REF!</definedName>
    <definedName name="age_definition">Méthode!$BM$3:$BM$4</definedName>
    <definedName name="ALPHAC">#REF!</definedName>
    <definedName name="ALPHAF">#REF!</definedName>
    <definedName name="ALPHAP">#REF!</definedName>
    <definedName name="BETAC">#REF!</definedName>
    <definedName name="BETAF">#REF!</definedName>
    <definedName name="BETAP">#REF!</definedName>
    <definedName name="CCONST">#REF!</definedName>
    <definedName name="CINTERCEPT">#REF!</definedName>
    <definedName name="CSLOP">#REF!</definedName>
    <definedName name="FCONST">#REF!</definedName>
    <definedName name="FINTERCEPT">#REF!</definedName>
    <definedName name="FPTS">#REF!</definedName>
    <definedName name="FSLOP">#REF!</definedName>
    <definedName name="graph1" hidden="1">[2]GOMP!$Z$26:$Z$42</definedName>
    <definedName name="graph10" hidden="1">[2]GOMP!$Y$3:$Y$9</definedName>
    <definedName name="graph11" hidden="1">[2]GOMP!$AE$26:$AE$49</definedName>
    <definedName name="graph12" hidden="1">[2]GOMP!$AE$26:$AE$49</definedName>
    <definedName name="graph13" hidden="1">[2]GOMP!$AB$26:$AB$42</definedName>
    <definedName name="graph14" hidden="1">[2]GOMP!$AB$26:$AB$42</definedName>
    <definedName name="graph15" hidden="1">[2]GOMP!$V$3:$V$19</definedName>
    <definedName name="graph16" hidden="1">[2]GOMP!$V$3:$V$9</definedName>
    <definedName name="graph17" hidden="1">[2]GOMP!$AF$26:$AF$49</definedName>
    <definedName name="graph18" hidden="1">[2]GOMP!$AF$26:$AF$49</definedName>
    <definedName name="graph19" hidden="1">[2]GOMP!$Y$26:$Y$60</definedName>
    <definedName name="graph1a" hidden="1">#REF!</definedName>
    <definedName name="graph2" hidden="1">[2]GOMP!$Z$26:$Z$42</definedName>
    <definedName name="graph20" hidden="1">[2]GOMP!$Y$26:$Y$60</definedName>
    <definedName name="graph21" hidden="1">[2]GOMP!$W$3:$W$19</definedName>
    <definedName name="graph3" hidden="1">[2]GOMP!$X$3:$X$18</definedName>
    <definedName name="graph4" hidden="1">[2]GOMP!$AC$26:$AC$42</definedName>
    <definedName name="graph5" hidden="1">[2]GOMP!$AC$26:$AC$42</definedName>
    <definedName name="graph6" hidden="1">[2]GOMP!$Y$3:$Y$19</definedName>
    <definedName name="graph7" hidden="1">[2]GOMP!$AA$26:$AA$60</definedName>
    <definedName name="graph8" hidden="1">[2]GOMP!$AA$26:$AA$60</definedName>
    <definedName name="graph9" hidden="1">[2]GOMP!$X$3:$X$9</definedName>
    <definedName name="HALF">#REF!</definedName>
    <definedName name="IMPORT">#REF!</definedName>
    <definedName name="INPUT">#REF!</definedName>
    <definedName name="Intersurvey_period">Méthode!$BM$6:$BM$7</definedName>
    <definedName name="LEGB">#REF!</definedName>
    <definedName name="LEGC">#REF!</definedName>
    <definedName name="LEVELC">#REF!</definedName>
    <definedName name="LEVELF">#REF!</definedName>
    <definedName name="LEVELP">#REF!</definedName>
    <definedName name="MAXF">#REF!</definedName>
    <definedName name="MAXP">#REF!</definedName>
    <definedName name="MINF">#REF!</definedName>
    <definedName name="MINP">#REF!</definedName>
    <definedName name="NC">#REF!</definedName>
    <definedName name="NF">#REF!</definedName>
    <definedName name="NONE">#REF!</definedName>
    <definedName name="NP">#REF!</definedName>
    <definedName name="ONE_AHALF">#REF!</definedName>
    <definedName name="PCONST">#REF!</definedName>
    <definedName name="PINTERCEPT">#REF!</definedName>
    <definedName name="PPTS">#REF!</definedName>
    <definedName name="_xlnm.Print_Area" localSheetId="1">Méthode!$A$1:$J$14</definedName>
    <definedName name="PSLOP" localSheetId="0">#REF!</definedName>
    <definedName name="PSLOP">#REF!</definedName>
    <definedName name="SHIFT" localSheetId="0">#REF!</definedName>
    <definedName name="SHIFT">#REF!</definedName>
    <definedName name="TITLE">#REF!</definedName>
    <definedName name="WHICH">#REF!</definedName>
    <definedName name="WHOLE">#REF!</definedName>
    <definedName name="XC">#REF!</definedName>
    <definedName name="XF">#REF!</definedName>
    <definedName name="XP">#REF!</definedName>
    <definedName name="XXC">#REF!</definedName>
    <definedName name="XXF">#REF!</definedName>
    <definedName name="XXP">#REF!</definedName>
    <definedName name="XYC">#REF!</definedName>
    <definedName name="XYF">#REF!</definedName>
    <definedName name="XYP">#REF!</definedName>
    <definedName name="YC">#REF!</definedName>
    <definedName name="YF">#REF!</definedName>
    <definedName name="YP">#REF!</definedName>
    <definedName name="YYC">#REF!</definedName>
    <definedName name="YYF">#REF!</definedName>
    <definedName name="YYP">#REF!</definedName>
  </definedNames>
  <calcPr calcId="145621"/>
</workbook>
</file>

<file path=xl/calcChain.xml><?xml version="1.0" encoding="utf-8"?>
<calcChain xmlns="http://schemas.openxmlformats.org/spreadsheetml/2006/main">
  <c r="B4" i="1" l="1"/>
  <c r="C4" i="1" s="1"/>
  <c r="A1" i="1"/>
  <c r="BN3" i="1"/>
  <c r="BN5" i="1"/>
  <c r="S23" i="1" l="1"/>
  <c r="T11" i="1"/>
  <c r="AQ34" i="1" l="1"/>
  <c r="G4" i="1" l="1"/>
  <c r="F4" i="1"/>
  <c r="H12" i="1" l="1"/>
  <c r="H11" i="1"/>
  <c r="H10" i="1"/>
  <c r="H9" i="1"/>
  <c r="H8" i="1"/>
  <c r="H7" i="1"/>
  <c r="H6" i="1"/>
  <c r="D6" i="1"/>
  <c r="D7" i="1" l="1"/>
  <c r="D8" i="1" s="1"/>
  <c r="D9" i="1" l="1"/>
  <c r="D10" i="1" s="1"/>
  <c r="D11" i="1" s="1"/>
  <c r="D12" i="1" s="1"/>
  <c r="BE81" i="1" l="1"/>
  <c r="BE80" i="1"/>
  <c r="BE79" i="1"/>
  <c r="BE78" i="1"/>
  <c r="BE77" i="1"/>
  <c r="BE76" i="1"/>
  <c r="BE75" i="1"/>
  <c r="BE74" i="1"/>
  <c r="BE73" i="1"/>
  <c r="BE72" i="1"/>
  <c r="BE71" i="1"/>
  <c r="BE70" i="1"/>
  <c r="BE69" i="1"/>
  <c r="BE68" i="1"/>
  <c r="BE67" i="1"/>
  <c r="BE66" i="1"/>
  <c r="BE65" i="1"/>
  <c r="BE64" i="1"/>
  <c r="BE63" i="1"/>
  <c r="BE62" i="1"/>
  <c r="BE61" i="1"/>
  <c r="BE60" i="1"/>
  <c r="BE59" i="1"/>
  <c r="BE58" i="1"/>
  <c r="BE57" i="1"/>
  <c r="BE56" i="1"/>
  <c r="BE55" i="1"/>
  <c r="BE54" i="1"/>
  <c r="BE53" i="1"/>
  <c r="BE52" i="1"/>
  <c r="BE51" i="1"/>
  <c r="BE50" i="1"/>
  <c r="BE49" i="1"/>
  <c r="BE48" i="1"/>
  <c r="BE47" i="1"/>
  <c r="BE46" i="1"/>
  <c r="BE45" i="1"/>
  <c r="BE44" i="1"/>
  <c r="BE43" i="1"/>
  <c r="BE42" i="1"/>
  <c r="BE41" i="1"/>
  <c r="BE40" i="1"/>
  <c r="BE39" i="1"/>
  <c r="BE38" i="1"/>
  <c r="BE37" i="1"/>
  <c r="BE36" i="1"/>
  <c r="BE35" i="1"/>
  <c r="BE34" i="1"/>
  <c r="BE33" i="1"/>
  <c r="BE32" i="1"/>
  <c r="BE31" i="1"/>
  <c r="BE30" i="1"/>
  <c r="BE29" i="1"/>
  <c r="BE28" i="1"/>
  <c r="BE27" i="1"/>
  <c r="BE26" i="1"/>
  <c r="BE25" i="1"/>
  <c r="BE24" i="1"/>
  <c r="BE23" i="1"/>
  <c r="BE22" i="1"/>
  <c r="BE21" i="1"/>
  <c r="BE20" i="1"/>
  <c r="BE19" i="1"/>
  <c r="BE18" i="1"/>
  <c r="BE17" i="1"/>
  <c r="BE16" i="1"/>
  <c r="BE15" i="1"/>
  <c r="BE14" i="1"/>
  <c r="BE13" i="1"/>
  <c r="BE12" i="1"/>
  <c r="BE11" i="1"/>
  <c r="BE10" i="1"/>
  <c r="BE9" i="1"/>
  <c r="BE8" i="1"/>
  <c r="BE7" i="1"/>
  <c r="BE6" i="1"/>
  <c r="BE5" i="1"/>
  <c r="BH22" i="1" l="1"/>
  <c r="BH30" i="1"/>
  <c r="BH34" i="1"/>
  <c r="BH42" i="1"/>
  <c r="BH50" i="1"/>
  <c r="BH58" i="1"/>
  <c r="BH66" i="1"/>
  <c r="BH74" i="1"/>
  <c r="BH82" i="1"/>
  <c r="BH18" i="1"/>
  <c r="BH26" i="1"/>
  <c r="BH38" i="1"/>
  <c r="BH46" i="1"/>
  <c r="BH54" i="1"/>
  <c r="BH62" i="1"/>
  <c r="BH70" i="1"/>
  <c r="BH78" i="1"/>
  <c r="BH86" i="1"/>
  <c r="BH15" i="1"/>
  <c r="BH23" i="1"/>
  <c r="BH27" i="1"/>
  <c r="BH35" i="1"/>
  <c r="BH39" i="1"/>
  <c r="BH47" i="1"/>
  <c r="BH51" i="1"/>
  <c r="BH59" i="1"/>
  <c r="BH67" i="1"/>
  <c r="BH16" i="1"/>
  <c r="BH20" i="1"/>
  <c r="BH24" i="1"/>
  <c r="BH28" i="1"/>
  <c r="BH32" i="1"/>
  <c r="BH36" i="1"/>
  <c r="BH40" i="1"/>
  <c r="BH44" i="1"/>
  <c r="BH48" i="1"/>
  <c r="BH52" i="1"/>
  <c r="BH56" i="1"/>
  <c r="BH60" i="1"/>
  <c r="BH64" i="1"/>
  <c r="BH68" i="1"/>
  <c r="BH72" i="1"/>
  <c r="BH76" i="1"/>
  <c r="BH80" i="1"/>
  <c r="BH88" i="1"/>
  <c r="BH17" i="1"/>
  <c r="BH21" i="1"/>
  <c r="BH25" i="1"/>
  <c r="BH29" i="1"/>
  <c r="BH33" i="1"/>
  <c r="BH37" i="1"/>
  <c r="BH41" i="1"/>
  <c r="BH45" i="1"/>
  <c r="BH49" i="1"/>
  <c r="BH53" i="1"/>
  <c r="BH57" i="1"/>
  <c r="BH61" i="1"/>
  <c r="BH65" i="1"/>
  <c r="BH69" i="1"/>
  <c r="BH73" i="1"/>
  <c r="BH77" i="1"/>
  <c r="BH81" i="1"/>
  <c r="BH89" i="1"/>
  <c r="BH19" i="1"/>
  <c r="BH31" i="1"/>
  <c r="BH43" i="1"/>
  <c r="BH55" i="1"/>
  <c r="BH63" i="1"/>
  <c r="BH71" i="1"/>
  <c r="BH75" i="1"/>
  <c r="BH79" i="1"/>
  <c r="BH83" i="1"/>
  <c r="BH13" i="1"/>
  <c r="BH14" i="1"/>
  <c r="BH84" i="1"/>
  <c r="BH85" i="1"/>
  <c r="BH87" i="1"/>
  <c r="AV47" i="1" l="1"/>
  <c r="AQ33" i="1" s="1"/>
  <c r="AV46" i="1"/>
  <c r="AQ32" i="1" s="1"/>
  <c r="AV45" i="1"/>
  <c r="AQ31" i="1" s="1"/>
  <c r="AV44" i="1"/>
  <c r="AQ30" i="1" s="1"/>
  <c r="AV43" i="1"/>
  <c r="AQ29" i="1" s="1"/>
  <c r="AV42" i="1"/>
  <c r="AQ28" i="1" s="1"/>
  <c r="AV41" i="1"/>
  <c r="AQ27" i="1" s="1"/>
  <c r="AV40" i="1"/>
  <c r="AQ26" i="1" s="1"/>
  <c r="AS48" i="1"/>
  <c r="AS47" i="1"/>
  <c r="AP22" i="1" s="1"/>
  <c r="AS46" i="1"/>
  <c r="AP21" i="1" s="1"/>
  <c r="AS45" i="1"/>
  <c r="AP20" i="1" s="1"/>
  <c r="AS44" i="1"/>
  <c r="AP19" i="1" s="1"/>
  <c r="AS43" i="1"/>
  <c r="AP18" i="1" s="1"/>
  <c r="AS42" i="1"/>
  <c r="AP17" i="1" s="1"/>
  <c r="AS41" i="1"/>
  <c r="AP16" i="1" s="1"/>
  <c r="AS40" i="1"/>
  <c r="AP15" i="1" s="1"/>
  <c r="AP47" i="1"/>
  <c r="AP11" i="1" s="1"/>
  <c r="AP46" i="1"/>
  <c r="AP10" i="1" s="1"/>
  <c r="AP45" i="1"/>
  <c r="AP9" i="1" s="1"/>
  <c r="AP44" i="1"/>
  <c r="AP8" i="1" s="1"/>
  <c r="AP43" i="1"/>
  <c r="AP7" i="1" s="1"/>
  <c r="AP42" i="1"/>
  <c r="AP6" i="1" s="1"/>
  <c r="AP41" i="1"/>
  <c r="AP5" i="1" s="1"/>
  <c r="AP40" i="1"/>
  <c r="AP4" i="1" s="1"/>
  <c r="AF51" i="1" l="1"/>
  <c r="AF50" i="1"/>
  <c r="AF49" i="1"/>
  <c r="AF48" i="1"/>
  <c r="AF47" i="1"/>
  <c r="AF46" i="1"/>
  <c r="AF45" i="1"/>
  <c r="AF44" i="1"/>
  <c r="H14" i="1" l="1"/>
  <c r="T23" i="1"/>
  <c r="R5" i="1"/>
  <c r="R4" i="1"/>
  <c r="R6" i="1"/>
  <c r="R7" i="1"/>
  <c r="R8" i="1"/>
  <c r="R9" i="1"/>
  <c r="R10" i="1"/>
  <c r="Y11" i="1"/>
  <c r="AD11" i="1" s="1"/>
  <c r="S17" i="1"/>
  <c r="T17" i="1" s="1"/>
  <c r="S18" i="1"/>
  <c r="T18" i="1" s="1"/>
  <c r="S19" i="1"/>
  <c r="T19" i="1" s="1"/>
  <c r="Y23" i="1"/>
  <c r="AD23" i="1" s="1"/>
  <c r="R11" i="1"/>
  <c r="S16" i="1"/>
  <c r="T16" i="1" s="1"/>
  <c r="S22" i="1"/>
  <c r="T22" i="1" s="1"/>
  <c r="S21" i="1"/>
  <c r="T21" i="1" s="1"/>
  <c r="S20" i="1"/>
  <c r="T20" i="1" s="1"/>
  <c r="AO26" i="1"/>
  <c r="AC23" i="1" l="1"/>
  <c r="U11" i="1"/>
  <c r="V11" i="1" s="1"/>
  <c r="S6" i="1"/>
  <c r="T6" i="1" s="1"/>
  <c r="AB23" i="1"/>
  <c r="AB11" i="1"/>
  <c r="S8" i="1"/>
  <c r="T8" i="1" s="1"/>
  <c r="S5" i="1"/>
  <c r="T5" i="1" s="1"/>
  <c r="S4" i="1"/>
  <c r="T4" i="1" s="1"/>
  <c r="S9" i="1"/>
  <c r="T9" i="1" s="1"/>
  <c r="Z11" i="1"/>
  <c r="AC11" i="1" s="1"/>
  <c r="S7" i="1"/>
  <c r="T7" i="1" s="1"/>
  <c r="Q7" i="1"/>
  <c r="Q11" i="1"/>
  <c r="AF22" i="1"/>
  <c r="AF24" i="1"/>
  <c r="AF26" i="1"/>
  <c r="AF28" i="1"/>
  <c r="Q5" i="1"/>
  <c r="Q9" i="1"/>
  <c r="AF21" i="1"/>
  <c r="AF23" i="1"/>
  <c r="AF25" i="1"/>
  <c r="AF27" i="1"/>
  <c r="S10" i="1"/>
  <c r="T10" i="1" s="1"/>
  <c r="Q4" i="1"/>
  <c r="Q6" i="1"/>
  <c r="Q8" i="1"/>
  <c r="Q10" i="1"/>
  <c r="Z23" i="1"/>
  <c r="AQ7" i="1" l="1"/>
  <c r="AR7" i="1"/>
  <c r="AS7" i="1" s="1"/>
  <c r="AQ11" i="1"/>
  <c r="AR11" i="1"/>
  <c r="AS11" i="1" s="1"/>
  <c r="AQ18" i="1"/>
  <c r="AR18" i="1"/>
  <c r="AS18" i="1" s="1"/>
  <c r="AQ22" i="1"/>
  <c r="AS33" i="1"/>
  <c r="AT33" i="1" s="1"/>
  <c r="AR33" i="1"/>
  <c r="AQ6" i="1"/>
  <c r="AR6" i="1"/>
  <c r="AS6" i="1" s="1"/>
  <c r="AQ10" i="1"/>
  <c r="AR10" i="1"/>
  <c r="AS10" i="1" s="1"/>
  <c r="AQ17" i="1"/>
  <c r="AR17" i="1"/>
  <c r="AS17" i="1" s="1"/>
  <c r="AQ21" i="1"/>
  <c r="AR21" i="1"/>
  <c r="AS21" i="1" s="1"/>
  <c r="AS28" i="1"/>
  <c r="AT28" i="1" s="1"/>
  <c r="AR28" i="1"/>
  <c r="AS32" i="1"/>
  <c r="AT32" i="1" s="1"/>
  <c r="AR32" i="1"/>
  <c r="AR5" i="1"/>
  <c r="AS5" i="1" s="1"/>
  <c r="AQ5" i="1"/>
  <c r="AQ9" i="1"/>
  <c r="AT9" i="1" s="1"/>
  <c r="AR9" i="1"/>
  <c r="AS9" i="1" s="1"/>
  <c r="AQ16" i="1"/>
  <c r="AU16" i="1" s="1"/>
  <c r="AR16" i="1"/>
  <c r="AS16" i="1" s="1"/>
  <c r="AR20" i="1"/>
  <c r="AS20" i="1" s="1"/>
  <c r="AQ20" i="1"/>
  <c r="AS27" i="1"/>
  <c r="AT27" i="1" s="1"/>
  <c r="AR27" i="1"/>
  <c r="AS31" i="1"/>
  <c r="AT31" i="1" s="1"/>
  <c r="AR31" i="1"/>
  <c r="AR4" i="1"/>
  <c r="AS4" i="1" s="1"/>
  <c r="AQ4" i="1"/>
  <c r="AQ8" i="1"/>
  <c r="AT8" i="1" s="1"/>
  <c r="AR8" i="1"/>
  <c r="AS8" i="1" s="1"/>
  <c r="AQ15" i="1"/>
  <c r="AG33" i="1" s="1"/>
  <c r="AR15" i="1"/>
  <c r="AS15" i="1" s="1"/>
  <c r="AQ19" i="1"/>
  <c r="AR19" i="1"/>
  <c r="AS19" i="1" s="1"/>
  <c r="AS26" i="1"/>
  <c r="AT26" i="1" s="1"/>
  <c r="AR26" i="1"/>
  <c r="AG44" i="1" s="1"/>
  <c r="AS30" i="1"/>
  <c r="AT30" i="1" s="1"/>
  <c r="AR30" i="1"/>
  <c r="AS29" i="1"/>
  <c r="AT29" i="1" s="1"/>
  <c r="AR29" i="1"/>
  <c r="AU17" i="1" l="1"/>
  <c r="AU6" i="1"/>
  <c r="AU18" i="1"/>
  <c r="AU7" i="1"/>
  <c r="AU5" i="1"/>
  <c r="AT10" i="1"/>
  <c r="AT6" i="1"/>
  <c r="AG21" i="1"/>
  <c r="AT4" i="1"/>
  <c r="AT5" i="1"/>
  <c r="AT11" i="1"/>
  <c r="AW11" i="1" s="1"/>
  <c r="W11" i="1" s="1"/>
  <c r="AT7" i="1"/>
  <c r="AU28" i="1"/>
  <c r="AG47" i="1"/>
  <c r="AG48" i="1"/>
  <c r="AU29" i="1"/>
  <c r="AU30" i="1"/>
  <c r="AG49" i="1"/>
  <c r="AG38" i="1"/>
  <c r="AT19" i="1"/>
  <c r="AG22" i="1"/>
  <c r="AG50" i="1"/>
  <c r="AU31" i="1"/>
  <c r="AG46" i="1"/>
  <c r="AU27" i="1"/>
  <c r="AU33" i="1"/>
  <c r="AX33" i="1" s="1"/>
  <c r="W23" i="1" s="1"/>
  <c r="AG51" i="1"/>
  <c r="AU32" i="1"/>
  <c r="AG37" i="1"/>
  <c r="AT18" i="1"/>
  <c r="AG25" i="1"/>
  <c r="AV7" i="1"/>
  <c r="U7" i="1" s="1"/>
  <c r="V7" i="1" s="1"/>
  <c r="Y7" i="1" s="1"/>
  <c r="AG34" i="1"/>
  <c r="AT15" i="1"/>
  <c r="AG26" i="1"/>
  <c r="AG39" i="1"/>
  <c r="AT20" i="1"/>
  <c r="AG35" i="1"/>
  <c r="AT16" i="1"/>
  <c r="AG27" i="1"/>
  <c r="AG23" i="1"/>
  <c r="AG40" i="1"/>
  <c r="AT21" i="1"/>
  <c r="AW21" i="1" s="1"/>
  <c r="AG36" i="1"/>
  <c r="AT17" i="1"/>
  <c r="AV17" i="1" s="1"/>
  <c r="AG28" i="1"/>
  <c r="AG24" i="1"/>
  <c r="AG45" i="1"/>
  <c r="AU26" i="1"/>
  <c r="AB7" i="1" l="1"/>
  <c r="AW33" i="1"/>
  <c r="U23" i="1" s="1"/>
  <c r="V23" i="1" s="1"/>
  <c r="AW27" i="1"/>
  <c r="U17" i="1" s="1"/>
  <c r="V17" i="1" s="1"/>
  <c r="Y17" i="1" s="1"/>
  <c r="AX27" i="1"/>
  <c r="W17" i="1" s="1"/>
  <c r="AV27" i="1"/>
  <c r="AW4" i="1"/>
  <c r="W4" i="1" s="1"/>
  <c r="AV4" i="1"/>
  <c r="U4" i="1" s="1"/>
  <c r="V4" i="1" s="1"/>
  <c r="Y4" i="1" s="1"/>
  <c r="AD4" i="1" s="1"/>
  <c r="AW19" i="1"/>
  <c r="AV19" i="1"/>
  <c r="AX26" i="1"/>
  <c r="W16" i="1" s="1"/>
  <c r="AW26" i="1"/>
  <c r="U16" i="1" s="1"/>
  <c r="V16" i="1" s="1"/>
  <c r="Y16" i="1" s="1"/>
  <c r="AD16" i="1" s="1"/>
  <c r="AW10" i="1"/>
  <c r="W10" i="1" s="1"/>
  <c r="AV10" i="1"/>
  <c r="U10" i="1" s="1"/>
  <c r="V10" i="1" s="1"/>
  <c r="Y10" i="1" s="1"/>
  <c r="AW5" i="1"/>
  <c r="W5" i="1" s="1"/>
  <c r="AV5" i="1"/>
  <c r="U5" i="1" s="1"/>
  <c r="V5" i="1" s="1"/>
  <c r="Y5" i="1" s="1"/>
  <c r="AD5" i="1" s="1"/>
  <c r="AW9" i="1"/>
  <c r="W9" i="1" s="1"/>
  <c r="AV9" i="1"/>
  <c r="U9" i="1" s="1"/>
  <c r="V9" i="1" s="1"/>
  <c r="Y9" i="1" s="1"/>
  <c r="AV16" i="1"/>
  <c r="AW16" i="1"/>
  <c r="AW20" i="1"/>
  <c r="AV20" i="1"/>
  <c r="AW15" i="1"/>
  <c r="AV15" i="1"/>
  <c r="AW7" i="1"/>
  <c r="W7" i="1" s="1"/>
  <c r="Z7" i="1" s="1"/>
  <c r="AC7" i="1" s="1"/>
  <c r="AW18" i="1"/>
  <c r="AX32" i="1"/>
  <c r="W22" i="1" s="1"/>
  <c r="AW32" i="1"/>
  <c r="U22" i="1" s="1"/>
  <c r="V22" i="1" s="1"/>
  <c r="Y22" i="1" s="1"/>
  <c r="AD22" i="1" s="1"/>
  <c r="AX30" i="1"/>
  <c r="W20" i="1" s="1"/>
  <c r="AW30" i="1"/>
  <c r="U20" i="1" s="1"/>
  <c r="V20" i="1" s="1"/>
  <c r="Y20" i="1" s="1"/>
  <c r="AX28" i="1"/>
  <c r="W18" i="1" s="1"/>
  <c r="AV28" i="1"/>
  <c r="AW28" i="1"/>
  <c r="U18" i="1" s="1"/>
  <c r="V18" i="1" s="1"/>
  <c r="Y18" i="1" s="1"/>
  <c r="AV18" i="1"/>
  <c r="AV21" i="1"/>
  <c r="AW6" i="1"/>
  <c r="W6" i="1" s="1"/>
  <c r="AV6" i="1"/>
  <c r="U6" i="1" s="1"/>
  <c r="V6" i="1" s="1"/>
  <c r="Y6" i="1" s="1"/>
  <c r="AW17" i="1"/>
  <c r="AW8" i="1"/>
  <c r="W8" i="1" s="1"/>
  <c r="AV8" i="1"/>
  <c r="U8" i="1" s="1"/>
  <c r="V8" i="1" s="1"/>
  <c r="Y8" i="1" s="1"/>
  <c r="AX31" i="1"/>
  <c r="W21" i="1" s="1"/>
  <c r="AW31" i="1"/>
  <c r="U21" i="1" s="1"/>
  <c r="V21" i="1" s="1"/>
  <c r="Y21" i="1" s="1"/>
  <c r="AD21" i="1" s="1"/>
  <c r="AV29" i="1"/>
  <c r="AX29" i="1"/>
  <c r="W19" i="1" s="1"/>
  <c r="AW29" i="1"/>
  <c r="U19" i="1" s="1"/>
  <c r="V19" i="1" s="1"/>
  <c r="Y19" i="1" s="1"/>
  <c r="AB17" i="1" l="1"/>
  <c r="AD17" i="1"/>
  <c r="AB10" i="1"/>
  <c r="Z10" i="1"/>
  <c r="AC10" i="1" s="1"/>
  <c r="AB16" i="1"/>
  <c r="Z16" i="1"/>
  <c r="AC16" i="1" s="1"/>
  <c r="AB22" i="1"/>
  <c r="Z22" i="1"/>
  <c r="AC22" i="1" s="1"/>
  <c r="AB4" i="1"/>
  <c r="Z4" i="1"/>
  <c r="AC4" i="1" s="1"/>
  <c r="AV35" i="1"/>
  <c r="AI3" i="1" s="1"/>
  <c r="AK3" i="1" s="1"/>
  <c r="Z8" i="1"/>
  <c r="AC8" i="1" s="1"/>
  <c r="AB8" i="1"/>
  <c r="AB19" i="1"/>
  <c r="Z19" i="1"/>
  <c r="AC19" i="1" s="1"/>
  <c r="Z6" i="1"/>
  <c r="AC6" i="1" s="1"/>
  <c r="AB6" i="1"/>
  <c r="AB18" i="1"/>
  <c r="Z18" i="1"/>
  <c r="AC18" i="1" s="1"/>
  <c r="AB9" i="1"/>
  <c r="Z9" i="1"/>
  <c r="AC9" i="1" s="1"/>
  <c r="AB5" i="1"/>
  <c r="Z5" i="1"/>
  <c r="AC5" i="1" s="1"/>
  <c r="AU12" i="1"/>
  <c r="AH3" i="1" s="1"/>
  <c r="Z17" i="1"/>
  <c r="AC17" i="1" s="1"/>
  <c r="AB21" i="1"/>
  <c r="Z21" i="1"/>
  <c r="AC21" i="1" s="1"/>
  <c r="AB20" i="1"/>
  <c r="Z20" i="1"/>
  <c r="AC20" i="1" s="1"/>
  <c r="AU23" i="1"/>
  <c r="AH4" i="1" s="1"/>
  <c r="AI4" i="1" l="1"/>
  <c r="AK4" i="1" s="1"/>
  <c r="AI12" i="1"/>
  <c r="AI10" i="1"/>
  <c r="AH10" i="1"/>
  <c r="AH12" i="1"/>
  <c r="AH7" i="1"/>
  <c r="AH11" i="1"/>
  <c r="AH9" i="1"/>
  <c r="AI11" i="1"/>
  <c r="AI7" i="1"/>
  <c r="AI9" i="1"/>
  <c r="AG3" i="1"/>
  <c r="AG4" i="1" l="1"/>
  <c r="AG12" i="1"/>
  <c r="AG9" i="1"/>
  <c r="AH15" i="1"/>
  <c r="AG11" i="1"/>
  <c r="AI15" i="1"/>
  <c r="AI16" i="1" s="1"/>
  <c r="AI17" i="1" s="1"/>
  <c r="AG7" i="1"/>
  <c r="AG10" i="1"/>
  <c r="AH16" i="1" l="1"/>
  <c r="AG15" i="1"/>
  <c r="AK15" i="1" l="1"/>
  <c r="N5" i="1" s="1"/>
  <c r="P5" i="1" s="1"/>
  <c r="AH17" i="1"/>
  <c r="AG16" i="1"/>
  <c r="AG17" i="1" l="1"/>
  <c r="AK17" i="1" s="1"/>
  <c r="AK16" i="1"/>
  <c r="AD10" i="1" s="1"/>
  <c r="AD7" i="1" l="1"/>
  <c r="AD8" i="1"/>
  <c r="AD19" i="1"/>
  <c r="AD9" i="1"/>
  <c r="AD6" i="1"/>
  <c r="AD18" i="1"/>
  <c r="AD20" i="1"/>
  <c r="AH40" i="1"/>
  <c r="AI40" i="1" s="1"/>
  <c r="AH36" i="1"/>
  <c r="AI36" i="1" s="1"/>
  <c r="AH28" i="1"/>
  <c r="AI28" i="1" s="1"/>
  <c r="AH24" i="1"/>
  <c r="AI24" i="1" s="1"/>
  <c r="AH39" i="1"/>
  <c r="AI39" i="1" s="1"/>
  <c r="AH35" i="1"/>
  <c r="AI35" i="1" s="1"/>
  <c r="AH27" i="1"/>
  <c r="AI27" i="1" s="1"/>
  <c r="AH22" i="1"/>
  <c r="AI22" i="1" s="1"/>
  <c r="AH37" i="1"/>
  <c r="AI37" i="1" s="1"/>
  <c r="AH33" i="1"/>
  <c r="AI33" i="1" s="1"/>
  <c r="AH25" i="1"/>
  <c r="AI25" i="1" s="1"/>
  <c r="AH21" i="1"/>
  <c r="AI21" i="1" s="1"/>
  <c r="AH23" i="1"/>
  <c r="AI23" i="1" s="1"/>
  <c r="AH38" i="1"/>
  <c r="AI38" i="1" s="1"/>
  <c r="AH34" i="1"/>
  <c r="AI34" i="1" s="1"/>
  <c r="AH26" i="1"/>
  <c r="AI26" i="1" s="1"/>
  <c r="AH49" i="1"/>
  <c r="AI49" i="1" s="1"/>
  <c r="AL49" i="1" s="1"/>
  <c r="AH51" i="1"/>
  <c r="AI51" i="1" s="1"/>
  <c r="AL51" i="1" s="1"/>
  <c r="N4" i="1"/>
  <c r="P4" i="1" s="1"/>
  <c r="AH46" i="1"/>
  <c r="AI46" i="1" s="1"/>
  <c r="AL46" i="1" s="1"/>
  <c r="AH45" i="1"/>
  <c r="AI45" i="1" s="1"/>
  <c r="AL45" i="1" s="1"/>
  <c r="AH47" i="1"/>
  <c r="AI47" i="1" s="1"/>
  <c r="AL47" i="1" s="1"/>
  <c r="AH50" i="1"/>
  <c r="AI50" i="1" s="1"/>
  <c r="AL50" i="1" s="1"/>
  <c r="AH48" i="1"/>
  <c r="AI48" i="1" s="1"/>
  <c r="AL48" i="1" s="1"/>
  <c r="AH44" i="1"/>
  <c r="AI44" i="1" s="1"/>
  <c r="AL44" i="1" s="1"/>
  <c r="AL28" i="1"/>
  <c r="AL22" i="1"/>
  <c r="AD24" i="1" l="1"/>
  <c r="N7" i="1" s="1"/>
  <c r="AL21" i="1"/>
  <c r="AL27" i="1"/>
  <c r="AL26" i="1"/>
  <c r="AL24" i="1"/>
  <c r="AL25" i="1"/>
  <c r="AL23" i="1"/>
  <c r="AL52" i="1"/>
  <c r="AL29" i="1" l="1"/>
  <c r="N6" i="1"/>
  <c r="AJ51" i="1"/>
  <c r="AJ47" i="1"/>
  <c r="S118" i="1"/>
  <c r="S114" i="1"/>
  <c r="S110" i="1"/>
  <c r="S106" i="1"/>
  <c r="S102" i="1"/>
  <c r="S98" i="1"/>
  <c r="S94" i="1"/>
  <c r="S90" i="1"/>
  <c r="S86" i="1"/>
  <c r="S82" i="1"/>
  <c r="S78" i="1"/>
  <c r="S74" i="1"/>
  <c r="S70" i="1"/>
  <c r="S66" i="1"/>
  <c r="S62" i="1"/>
  <c r="S58" i="1"/>
  <c r="S54" i="1"/>
  <c r="S50" i="1"/>
  <c r="S46" i="1"/>
  <c r="S42" i="1"/>
  <c r="S38" i="1"/>
  <c r="S34" i="1"/>
  <c r="AJ50" i="1"/>
  <c r="S117" i="1"/>
  <c r="S109" i="1"/>
  <c r="S101" i="1"/>
  <c r="S93" i="1"/>
  <c r="S85" i="1"/>
  <c r="S77" i="1"/>
  <c r="S69" i="1"/>
  <c r="S61" i="1"/>
  <c r="S53" i="1"/>
  <c r="S45" i="1"/>
  <c r="S37" i="1"/>
  <c r="S116" i="1"/>
  <c r="S108" i="1"/>
  <c r="S100" i="1"/>
  <c r="S92" i="1"/>
  <c r="S84" i="1"/>
  <c r="S76" i="1"/>
  <c r="S68" i="1"/>
  <c r="S60" i="1"/>
  <c r="S52" i="1"/>
  <c r="S44" i="1"/>
  <c r="S36" i="1"/>
  <c r="AJ48" i="1"/>
  <c r="AJ44" i="1"/>
  <c r="S115" i="1"/>
  <c r="S111" i="1"/>
  <c r="S107" i="1"/>
  <c r="S103" i="1"/>
  <c r="S99" i="1"/>
  <c r="S95" i="1"/>
  <c r="S91" i="1"/>
  <c r="S87" i="1"/>
  <c r="S83" i="1"/>
  <c r="S79" i="1"/>
  <c r="S75" i="1"/>
  <c r="S71" i="1"/>
  <c r="S67" i="1"/>
  <c r="S63" i="1"/>
  <c r="S59" i="1"/>
  <c r="S55" i="1"/>
  <c r="S51" i="1"/>
  <c r="S47" i="1"/>
  <c r="S43" i="1"/>
  <c r="S39" i="1"/>
  <c r="S35" i="1"/>
  <c r="S31" i="1"/>
  <c r="AJ46" i="1"/>
  <c r="S113" i="1"/>
  <c r="S105" i="1"/>
  <c r="S97" i="1"/>
  <c r="S89" i="1"/>
  <c r="S81" i="1"/>
  <c r="S73" i="1"/>
  <c r="S65" i="1"/>
  <c r="S57" i="1"/>
  <c r="S49" i="1"/>
  <c r="S41" i="1"/>
  <c r="S33" i="1"/>
  <c r="AJ49" i="1"/>
  <c r="AJ45" i="1"/>
  <c r="S112" i="1"/>
  <c r="S104" i="1"/>
  <c r="S96" i="1"/>
  <c r="S88" i="1"/>
  <c r="S80" i="1"/>
  <c r="S72" i="1"/>
  <c r="S64" i="1"/>
  <c r="S56" i="1"/>
  <c r="S48" i="1"/>
  <c r="S40" i="1"/>
  <c r="S32" i="1"/>
  <c r="AJ22" i="1"/>
  <c r="AJ40" i="1"/>
  <c r="AJ39" i="1"/>
  <c r="AJ37" i="1"/>
  <c r="AJ24" i="1"/>
  <c r="AJ36" i="1"/>
  <c r="AJ21" i="1"/>
  <c r="AK21" i="1" s="1"/>
  <c r="AJ23" i="1"/>
  <c r="AJ25" i="1"/>
  <c r="AJ26" i="1"/>
  <c r="AJ38" i="1"/>
  <c r="AJ34" i="1"/>
  <c r="AJ28" i="1"/>
  <c r="AJ33" i="1"/>
  <c r="AK33" i="1" s="1"/>
  <c r="J5" i="1" s="1"/>
  <c r="AJ27" i="1"/>
  <c r="AJ35" i="1"/>
  <c r="AK40" i="1" l="1"/>
  <c r="J12" i="1" s="1"/>
  <c r="T63" i="1"/>
  <c r="T61" i="1"/>
  <c r="T36" i="1"/>
  <c r="T34" i="1"/>
  <c r="T51" i="1"/>
  <c r="T49" i="1"/>
  <c r="T64" i="1"/>
  <c r="T62" i="1"/>
  <c r="T117" i="1"/>
  <c r="T112" i="1"/>
  <c r="T110" i="1"/>
  <c r="T79" i="1"/>
  <c r="T77" i="1"/>
  <c r="T67" i="1"/>
  <c r="T65" i="1"/>
  <c r="T116" i="1"/>
  <c r="T114" i="1"/>
  <c r="T56" i="1"/>
  <c r="T54" i="1"/>
  <c r="T52" i="1"/>
  <c r="T50" i="1"/>
  <c r="T100" i="1"/>
  <c r="T98" i="1"/>
  <c r="T88" i="1"/>
  <c r="T86" i="1"/>
  <c r="T107" i="1"/>
  <c r="T105" i="1"/>
  <c r="T103" i="1"/>
  <c r="T101" i="1"/>
  <c r="T35" i="1"/>
  <c r="T33" i="1"/>
  <c r="T99" i="1"/>
  <c r="T97" i="1"/>
  <c r="T91" i="1"/>
  <c r="T89" i="1"/>
  <c r="T59" i="1"/>
  <c r="T57" i="1"/>
  <c r="T92" i="1"/>
  <c r="T90" i="1"/>
  <c r="T39" i="1"/>
  <c r="T37" i="1"/>
  <c r="T84" i="1"/>
  <c r="T82" i="1"/>
  <c r="T47" i="1"/>
  <c r="T45" i="1"/>
  <c r="T40" i="1"/>
  <c r="T38" i="1"/>
  <c r="T80" i="1"/>
  <c r="T78" i="1"/>
  <c r="T76" i="1"/>
  <c r="T74" i="1"/>
  <c r="T60" i="1"/>
  <c r="T58" i="1"/>
  <c r="T115" i="1"/>
  <c r="T113" i="1"/>
  <c r="T111" i="1"/>
  <c r="T109" i="1"/>
  <c r="T96" i="1"/>
  <c r="T94" i="1"/>
  <c r="T104" i="1"/>
  <c r="T102" i="1"/>
  <c r="T43" i="1"/>
  <c r="T41" i="1"/>
  <c r="T71" i="1"/>
  <c r="T69" i="1"/>
  <c r="T55" i="1"/>
  <c r="T53" i="1"/>
  <c r="T48" i="1"/>
  <c r="T46" i="1"/>
  <c r="T44" i="1"/>
  <c r="T42" i="1"/>
  <c r="T95" i="1"/>
  <c r="T93" i="1"/>
  <c r="T83" i="1"/>
  <c r="T81" i="1"/>
  <c r="T72" i="1"/>
  <c r="T70" i="1"/>
  <c r="T68" i="1"/>
  <c r="T66" i="1"/>
  <c r="T87" i="1"/>
  <c r="T85" i="1"/>
  <c r="T75" i="1"/>
  <c r="T73" i="1"/>
  <c r="T108" i="1"/>
  <c r="T106" i="1"/>
  <c r="AK22" i="1"/>
  <c r="AK24" i="1"/>
  <c r="AK27" i="1"/>
  <c r="AK26" i="1"/>
  <c r="AK25" i="1"/>
  <c r="AK39" i="1"/>
  <c r="J11" i="1" s="1"/>
  <c r="AK28" i="1"/>
  <c r="AK37" i="1"/>
  <c r="J9" i="1" s="1"/>
  <c r="AK36" i="1"/>
  <c r="J8" i="1" s="1"/>
  <c r="AK23" i="1"/>
  <c r="AK38" i="1"/>
  <c r="J10" i="1" s="1"/>
  <c r="AK35" i="1"/>
  <c r="J7" i="1" s="1"/>
  <c r="AK34" i="1"/>
  <c r="J6" i="1" s="1"/>
  <c r="J14" i="1" l="1"/>
</calcChain>
</file>

<file path=xl/sharedStrings.xml><?xml version="1.0" encoding="utf-8"?>
<sst xmlns="http://schemas.openxmlformats.org/spreadsheetml/2006/main" count="195" uniqueCount="137">
  <si>
    <t>15-19</t>
  </si>
  <si>
    <t>20-24</t>
  </si>
  <si>
    <t>25-29</t>
  </si>
  <si>
    <t>30-34</t>
  </si>
  <si>
    <t>35-39</t>
  </si>
  <si>
    <t>40-44</t>
  </si>
  <si>
    <t>45-49</t>
  </si>
  <si>
    <t>F(x)</t>
  </si>
  <si>
    <t>F(x)/F(x+5)</t>
  </si>
  <si>
    <t>z(x)</t>
  </si>
  <si>
    <t>e(x)</t>
  </si>
  <si>
    <t>z(x)-e(x)</t>
  </si>
  <si>
    <t>g(x)</t>
  </si>
  <si>
    <t>exp(-exp(-Y(I))</t>
  </si>
  <si>
    <t>Ys(x)</t>
  </si>
  <si>
    <t>FM(x)</t>
  </si>
  <si>
    <t>fm(x)</t>
  </si>
  <si>
    <t>10-14</t>
  </si>
  <si>
    <t>z()-e()</t>
  </si>
  <si>
    <t>g()</t>
  </si>
  <si>
    <t>F-Points</t>
  </si>
  <si>
    <t>Age x</t>
  </si>
  <si>
    <t>Fs(x)/F</t>
  </si>
  <si>
    <t>14 ½</t>
  </si>
  <si>
    <t>19 ½</t>
  </si>
  <si>
    <t>24 ½</t>
  </si>
  <si>
    <t>29 ½</t>
  </si>
  <si>
    <t>34 ½</t>
  </si>
  <si>
    <t>39 ½</t>
  </si>
  <si>
    <t>44 ½</t>
  </si>
  <si>
    <t>49 ½</t>
  </si>
  <si>
    <t>i</t>
  </si>
  <si>
    <t>P(i)/P</t>
  </si>
  <si>
    <t>Ys(i)</t>
  </si>
  <si>
    <t>e(i)</t>
  </si>
  <si>
    <t>g(i)</t>
  </si>
  <si>
    <t>z()-e() -- y</t>
  </si>
  <si>
    <t>g() -- x</t>
  </si>
  <si>
    <t>P(i)/P(i+1)</t>
  </si>
  <si>
    <t>Age (x)</t>
  </si>
  <si>
    <t>z(i)</t>
  </si>
  <si>
    <t>z(i)-e(i)</t>
  </si>
  <si>
    <t>Alpha</t>
  </si>
  <si>
    <t>Beta</t>
  </si>
  <si>
    <t>F</t>
  </si>
  <si>
    <t>P</t>
  </si>
  <si>
    <t>alpha</t>
  </si>
  <si>
    <t>n</t>
  </si>
  <si>
    <t>Selected</t>
  </si>
  <si>
    <t>Ratio</t>
  </si>
  <si>
    <t>Phi</t>
  </si>
  <si>
    <t>Phi'</t>
  </si>
  <si>
    <t>Phi''</t>
  </si>
  <si>
    <t>F-LEVEL</t>
  </si>
  <si>
    <t>P-LEVEL</t>
  </si>
  <si>
    <t>Age (i)</t>
  </si>
  <si>
    <t>50+</t>
  </si>
  <si>
    <t>Ages</t>
  </si>
  <si>
    <t>P-Points</t>
  </si>
  <si>
    <t>Booth</t>
  </si>
  <si>
    <t>Fs(x)</t>
  </si>
  <si>
    <t>x</t>
  </si>
  <si>
    <t>Standards</t>
  </si>
  <si>
    <t>f(x)</t>
  </si>
  <si>
    <t>Figure 1</t>
  </si>
  <si>
    <t>Figure 2</t>
  </si>
  <si>
    <t>Figure 3</t>
  </si>
  <si>
    <t>Kenya</t>
  </si>
  <si>
    <t>P(i.s)</t>
  </si>
  <si>
    <t>Estimation de la fécondité intercensitaire par un modèle relationnel de Gompertz appliqué aux données de deux enquêtes - Instructions</t>
  </si>
  <si>
    <t>Cette méthode est présentée dans:</t>
  </si>
  <si>
    <t xml:space="preserve">Cette feuille de calcul estime la fécondité à partir des déclarations des femmes de 15-49 ans sur leur fécondité récente et leur descendance tirées de deux séries de données recueillies à cinq ou dix ans d'écart. Les données peuvent provenir d'un recensement ou d'une enquête. Les données sur la fécondité récente doivent être classées de manière équivalente aux deux dates. </t>
  </si>
  <si>
    <t>Saisie des données</t>
  </si>
  <si>
    <t xml:space="preserve">Saisir le nom du pays et l'année où les premières séries de données ont été recueillies dans les encadrés verts à droite de cette cellule </t>
  </si>
  <si>
    <t xml:space="preserve">Indiquer dans l'encadré à droite de cette cellule si les naissances ont été classées par âge des femmes à la naissance des enfants ou par âge au moment de l'enquête. (Cette application du modèle suppose, dans ce second cas, que les naissances sont celles des 12 mois précédant le recensement ou l'enquête). </t>
  </si>
  <si>
    <t xml:space="preserve">Préciser si les données ont été recueillies à 5 ou 10 ans d'écart. </t>
  </si>
  <si>
    <t>(Pour savoir comment calculer les parités moyennes à partir des données de recensement ou d'enquête, consulter les sections appropriées du manuel)</t>
  </si>
  <si>
    <t xml:space="preserve">(Pour savoir comment calculer les taux de fécondité récents directement à partir des données de recensement ou d'enquête, consulter les sections appropriées du manuel) </t>
  </si>
  <si>
    <r>
      <t xml:space="preserve">Commencer par placer un "1" dans chacune des cellules </t>
    </r>
    <r>
      <rPr>
        <b/>
        <sz val="12"/>
        <rFont val="Arial"/>
        <family val="2"/>
      </rPr>
      <t>E5:E13</t>
    </r>
    <r>
      <rPr>
        <sz val="12"/>
        <rFont val="Arial"/>
        <family val="2"/>
      </rPr>
      <t xml:space="preserve"> et </t>
    </r>
    <r>
      <rPr>
        <b/>
        <sz val="12"/>
        <rFont val="Arial"/>
        <family val="2"/>
      </rPr>
      <t>I5:I13</t>
    </r>
    <r>
      <rPr>
        <sz val="12"/>
        <rFont val="Arial"/>
        <family val="2"/>
      </rPr>
      <t xml:space="preserve"> pour lesquelles les données correspondantes existent pour la parité et la fécondité récente. Procéder ainsi signifie que la procédure d'ajustement du modèle commence par ajuster un modèle relationnel de Gompertz à tous les points des données relatives à la parité et la fécondité récente.  </t>
    </r>
  </si>
  <si>
    <r>
      <t xml:space="preserve">Examiner le premier graphique sur la feuille </t>
    </r>
    <r>
      <rPr>
        <b/>
        <i/>
        <sz val="12"/>
        <rFont val="Arial"/>
        <family val="2"/>
      </rPr>
      <t>Graphiques diagnostiques</t>
    </r>
    <r>
      <rPr>
        <sz val="12"/>
        <rFont val="Arial"/>
        <family val="2"/>
      </rPr>
      <t xml:space="preserve">; identifier d'éventuelles erreurs dans les données; éliminer ensuite tour à tour des points du modèle (en supprimant les 1 dans les cellules </t>
    </r>
    <r>
      <rPr>
        <b/>
        <sz val="12"/>
        <rFont val="Arial"/>
        <family val="2"/>
      </rPr>
      <t>E5:E13</t>
    </r>
    <r>
      <rPr>
        <sz val="12"/>
        <rFont val="Arial"/>
        <family val="2"/>
      </rPr>
      <t xml:space="preserve"> et </t>
    </r>
    <r>
      <rPr>
        <b/>
        <sz val="12"/>
        <rFont val="Arial"/>
        <family val="2"/>
      </rPr>
      <t>I5-I13</t>
    </r>
    <r>
      <rPr>
        <sz val="12"/>
        <rFont val="Arial"/>
        <family val="2"/>
      </rPr>
      <t xml:space="preserve"> sur la feuille </t>
    </r>
    <r>
      <rPr>
        <b/>
        <i/>
        <sz val="12"/>
        <rFont val="Arial"/>
        <family val="2"/>
      </rPr>
      <t>Méthode</t>
    </r>
    <r>
      <rPr>
        <sz val="12"/>
        <rFont val="Arial"/>
        <family val="2"/>
      </rPr>
      <t xml:space="preserve">, comme expliqué sur le site web à l'adresse citée à la cellule </t>
    </r>
    <r>
      <rPr>
        <b/>
        <sz val="12"/>
        <rFont val="Arial"/>
        <family val="2"/>
      </rPr>
      <t>A4)</t>
    </r>
    <r>
      <rPr>
        <sz val="12"/>
        <rFont val="Arial"/>
        <family val="2"/>
      </rPr>
      <t xml:space="preserve">, jusqu'à ce que l'ajustement soit aussi bon que possible. </t>
    </r>
  </si>
  <si>
    <t>Pays</t>
  </si>
  <si>
    <t xml:space="preserve">Année de la 1ère enquête </t>
  </si>
  <si>
    <t>Définition de l'âge de la mère</t>
  </si>
  <si>
    <t>Intervalle entre deux enquêtes (années)</t>
  </si>
  <si>
    <t>Parités observées</t>
  </si>
  <si>
    <t>Taux de fécondité par âge observés</t>
  </si>
  <si>
    <t>Sélectionné</t>
  </si>
  <si>
    <t>(âge décalé)</t>
  </si>
  <si>
    <t>Taux corrigés</t>
  </si>
  <si>
    <t>(âge réel)</t>
  </si>
  <si>
    <t>T-chapeau</t>
  </si>
  <si>
    <t>Racine EQM</t>
  </si>
  <si>
    <t>Gomp relationnel</t>
  </si>
  <si>
    <t>Points du graphique</t>
  </si>
  <si>
    <t>Points de la régression</t>
  </si>
  <si>
    <t>REQM</t>
  </si>
  <si>
    <t>Ajustement linéaire</t>
  </si>
  <si>
    <t>Constantes</t>
  </si>
  <si>
    <t>Combinés</t>
  </si>
  <si>
    <t>pas de décalage</t>
  </si>
  <si>
    <t>Régressions</t>
  </si>
  <si>
    <t>somme_y</t>
  </si>
  <si>
    <t>somme_x</t>
  </si>
  <si>
    <t>somme_xy</t>
  </si>
  <si>
    <t>somme_xx</t>
  </si>
  <si>
    <t>beta (pente)</t>
  </si>
  <si>
    <t>constante</t>
  </si>
  <si>
    <t>modèle-F</t>
  </si>
  <si>
    <t>Y(x) ajusté</t>
  </si>
  <si>
    <t>Groupe (i)</t>
  </si>
  <si>
    <t>Courbe de fécondité ajustée</t>
  </si>
  <si>
    <t>Cumul réel</t>
  </si>
  <si>
    <t>Pas décalage</t>
  </si>
  <si>
    <t xml:space="preserve">(utilisé pour les taux de fécondité définitifs aux âges conventionnels) </t>
  </si>
  <si>
    <t>Modèle-P</t>
  </si>
  <si>
    <t>Y(i) ajusté</t>
  </si>
  <si>
    <t>Calcul des cumuls</t>
  </si>
  <si>
    <t>Déclage d'une demi année (âge au recensement)</t>
  </si>
  <si>
    <t>CUMULS-F</t>
  </si>
  <si>
    <t>Pas de décalage (âge à la naissance)</t>
  </si>
  <si>
    <t>CUMULS-P</t>
  </si>
  <si>
    <t>Groupe d'âge</t>
  </si>
  <si>
    <t>Valeurs des cumuls</t>
  </si>
  <si>
    <t>F-Décalage</t>
  </si>
  <si>
    <t>F-Pas de décalage</t>
  </si>
  <si>
    <t>Modifié Zaba</t>
  </si>
  <si>
    <t>Parités P(x-5,5)</t>
  </si>
  <si>
    <t>Age à l'enquête</t>
  </si>
  <si>
    <t>Age à naissance enfant</t>
  </si>
  <si>
    <t>Intervalle entre enquêtes</t>
  </si>
  <si>
    <r>
      <t xml:space="preserve">Placer les parités moyennes calculées (si nécessaire, après une correction d'el-Badry) par âge de la mère au recensement ou à l'enquête tirées de chacune des deux enquêtes dans les cellules </t>
    </r>
    <r>
      <rPr>
        <b/>
        <sz val="12"/>
        <rFont val="Arial"/>
        <family val="2"/>
      </rPr>
      <t>B5:B13</t>
    </r>
    <r>
      <rPr>
        <sz val="12"/>
        <rFont val="Arial"/>
        <family val="2"/>
      </rPr>
      <t xml:space="preserve"> et </t>
    </r>
    <r>
      <rPr>
        <b/>
        <sz val="12"/>
        <rFont val="Arial"/>
        <family val="2"/>
      </rPr>
      <t>C5:C13</t>
    </r>
    <r>
      <rPr>
        <sz val="12"/>
        <rFont val="Arial"/>
        <family val="2"/>
      </rPr>
      <t xml:space="preserve"> de la feuille </t>
    </r>
    <r>
      <rPr>
        <b/>
        <i/>
        <sz val="12"/>
        <rFont val="Arial"/>
        <family val="2"/>
      </rPr>
      <t>Méthode</t>
    </r>
    <r>
      <rPr>
        <sz val="12"/>
        <rFont val="Arial"/>
        <family val="2"/>
      </rPr>
      <t xml:space="preserve">. </t>
    </r>
  </si>
  <si>
    <r>
      <t xml:space="preserve">Placer les taux de fécondité calculés directement (classés par âge tel que défini à l'étape 2) à partir de chaque enquête dans les cellules </t>
    </r>
    <r>
      <rPr>
        <b/>
        <sz val="12"/>
        <rFont val="Arial"/>
        <family val="2"/>
      </rPr>
      <t>F5:F13</t>
    </r>
    <r>
      <rPr>
        <sz val="12"/>
        <rFont val="Arial"/>
        <family val="2"/>
      </rPr>
      <t xml:space="preserve"> et </t>
    </r>
    <r>
      <rPr>
        <b/>
        <sz val="12"/>
        <rFont val="Arial"/>
        <family val="2"/>
      </rPr>
      <t>G5:G13</t>
    </r>
    <r>
      <rPr>
        <sz val="12"/>
        <rFont val="Arial"/>
        <family val="2"/>
      </rPr>
      <t xml:space="preserve"> de la feuille </t>
    </r>
    <r>
      <rPr>
        <b/>
        <i/>
        <sz val="12"/>
        <rFont val="Arial"/>
        <family val="2"/>
      </rPr>
      <t>Méthode</t>
    </r>
    <r>
      <rPr>
        <sz val="12"/>
        <rFont val="Arial"/>
        <family val="2"/>
      </rPr>
      <t xml:space="preserve">. </t>
    </r>
  </si>
  <si>
    <r>
      <t xml:space="preserve">Vérifier que les valeurs de α et β définissant le modèle relationnel, dans les cellules </t>
    </r>
    <r>
      <rPr>
        <b/>
        <sz val="12"/>
        <rFont val="Arial"/>
        <family val="2"/>
      </rPr>
      <t>M4:N5</t>
    </r>
    <r>
      <rPr>
        <sz val="12"/>
        <rFont val="Arial"/>
        <family val="2"/>
      </rPr>
      <t xml:space="preserve"> de la feuille </t>
    </r>
    <r>
      <rPr>
        <b/>
        <i/>
        <sz val="12"/>
        <rFont val="Arial"/>
        <family val="2"/>
      </rPr>
      <t>Méthode</t>
    </r>
    <r>
      <rPr>
        <sz val="12"/>
        <rFont val="Arial"/>
        <family val="2"/>
      </rPr>
      <t xml:space="preserve">, sont comprises dans l'intervalle requis. (Si elles ne le sont pas, le mot "attention" s'affichera auprès des valeurs, dans la colonne </t>
    </r>
    <r>
      <rPr>
        <b/>
        <sz val="12"/>
        <rFont val="Arial"/>
        <family val="2"/>
      </rPr>
      <t>O</t>
    </r>
    <r>
      <rPr>
        <sz val="12"/>
        <rFont val="Arial"/>
        <family val="2"/>
      </rPr>
      <t xml:space="preserve">). </t>
    </r>
  </si>
  <si>
    <r>
      <t xml:space="preserve">Le niveau de fécondité correspondant au modèle ajusté est donné par les cellules </t>
    </r>
    <r>
      <rPr>
        <b/>
        <sz val="12"/>
        <rFont val="Arial"/>
        <family val="2"/>
      </rPr>
      <t>M6:N6</t>
    </r>
    <r>
      <rPr>
        <sz val="12"/>
        <rFont val="Arial"/>
        <family val="2"/>
      </rPr>
      <t xml:space="preserve">. Les taux de fécondité par âge, pour des âges conventionnels (c'est-à-dire non décalés), sont donnés aux cellules </t>
    </r>
    <r>
      <rPr>
        <b/>
        <sz val="12"/>
        <rFont val="Arial"/>
        <family val="2"/>
      </rPr>
      <t>J5:J12</t>
    </r>
    <r>
      <rPr>
        <sz val="12"/>
        <rFont val="Arial"/>
        <family val="2"/>
      </rPr>
      <t xml:space="preserve"> de la feuille </t>
    </r>
    <r>
      <rPr>
        <b/>
        <i/>
        <sz val="12"/>
        <rFont val="Arial"/>
        <family val="2"/>
      </rPr>
      <t>Méthode</t>
    </r>
    <r>
      <rPr>
        <sz val="12"/>
        <rFont val="Arial"/>
        <family val="2"/>
      </rPr>
      <t xml:space="preserve">. </t>
    </r>
  </si>
  <si>
    <t>ISF</t>
  </si>
  <si>
    <t>décalage 1/2 an</t>
  </si>
  <si>
    <t>http://demographicestimation.iussp.org/fr/content/modèles-relationnels-synthétiques-de-gompertz</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</si>
</sst>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 #,##0.00_ ;_ * \-#,##0.00_ ;_ * &quot;-&quot;??_ ;_ @_ "/>
    <numFmt numFmtId="165" formatCode="0.0000"/>
    <numFmt numFmtId="166" formatCode="0.000"/>
    <numFmt numFmtId="167" formatCode="0.00000"/>
    <numFmt numFmtId="168" formatCode="_ * #,##0.0000_ ;_ * \-#,##0.0000_ ;_ * &quot;-&quot;??_ ;_ @_ "/>
    <numFmt numFmtId="169" formatCode="General_)"/>
  </numFmts>
  <fonts count="26" x14ac:knownFonts="1">
    <font>
      <sz val="10"/>
      <name val="Arial"/>
    </font>
    <font>
      <sz val="10"/>
      <color theme="1"/>
      <name val="Arial"/>
      <family val="2"/>
    </font>
    <font>
      <sz val="11"/>
      <color rgb="FF006100"/>
      <name val="Calibri"/>
      <family val="2"/>
      <scheme val="minor"/>
    </font>
    <font>
      <sz val="11"/>
      <color rgb="FF9C6500"/>
      <name val="Calibri"/>
      <family val="2"/>
      <scheme val="minor"/>
    </font>
    <font>
      <u/>
      <sz val="10"/>
      <color theme="10"/>
      <name val="Arial"/>
      <family val="2"/>
    </font>
    <font>
      <sz val="10"/>
      <name val="Arial"/>
      <family val="2"/>
    </font>
    <font>
      <b/>
      <sz val="12"/>
      <name val="Arial"/>
      <family val="2"/>
    </font>
    <font>
      <sz val="12"/>
      <name val="Arial"/>
      <family val="2"/>
    </font>
    <font>
      <u/>
      <sz val="12"/>
      <color theme="10"/>
      <name val="Arial"/>
      <family val="2"/>
    </font>
    <font>
      <b/>
      <sz val="12"/>
      <color rgb="FF006100"/>
      <name val="Arial"/>
      <family val="2"/>
    </font>
    <font>
      <sz val="12"/>
      <color rgb="FF006100"/>
      <name val="Arial"/>
      <family val="2"/>
    </font>
    <font>
      <sz val="12"/>
      <color theme="1"/>
      <name val="Arial"/>
      <family val="2"/>
    </font>
    <font>
      <b/>
      <i/>
      <sz val="12"/>
      <name val="Arial"/>
      <family val="2"/>
    </font>
    <font>
      <sz val="10"/>
      <color theme="1"/>
      <name val="Arial"/>
      <family val="2"/>
    </font>
    <font>
      <b/>
      <sz val="10"/>
      <name val="Arial"/>
      <family val="2"/>
    </font>
    <font>
      <b/>
      <sz val="10"/>
      <color theme="1"/>
      <name val="Arial"/>
      <family val="2"/>
    </font>
    <font>
      <sz val="10"/>
      <color rgb="FF9C6500"/>
      <name val="Arial"/>
      <family val="2"/>
    </font>
    <font>
      <sz val="10"/>
      <color indexed="62"/>
      <name val="Arial"/>
      <family val="2"/>
    </font>
    <font>
      <sz val="10"/>
      <color rgb="FF006100"/>
      <name val="Arial"/>
      <family val="2"/>
    </font>
    <font>
      <sz val="11"/>
      <name val="Arial Narrow"/>
      <family val="2"/>
    </font>
    <font>
      <b/>
      <sz val="11"/>
      <color theme="1"/>
      <name val="Arial Narrow"/>
      <family val="2"/>
    </font>
    <font>
      <b/>
      <sz val="11"/>
      <name val="Arial Narrow"/>
      <family val="2"/>
    </font>
    <font>
      <b/>
      <sz val="11"/>
      <color rgb="FF9C6500"/>
      <name val="Arial Narrow"/>
      <family val="2"/>
    </font>
    <font>
      <b/>
      <u/>
      <sz val="11"/>
      <name val="Arial Narrow"/>
      <family val="2"/>
    </font>
    <font>
      <sz val="12"/>
      <name val="Arial Narrow"/>
      <family val="2"/>
    </font>
    <font>
      <b/>
      <sz val="12"/>
      <name val="Arial Narrow"/>
      <family val="2"/>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theme="9" tint="0.79998168889431442"/>
        <bgColor indexed="64"/>
      </patternFill>
    </fill>
    <fill>
      <patternFill patternType="solid">
        <fgColor rgb="FFFFEB9C"/>
        <bgColor indexed="64"/>
      </patternFill>
    </fill>
    <fill>
      <patternFill patternType="solid">
        <fgColor rgb="FF00B050"/>
        <bgColor indexed="64"/>
      </patternFill>
    </fill>
  </fills>
  <borders count="27">
    <border>
      <left/>
      <right/>
      <top/>
      <bottom/>
      <diagonal/>
    </border>
    <border>
      <left/>
      <right/>
      <top style="medium">
        <color indexed="64"/>
      </top>
      <bottom style="medium">
        <color indexed="64"/>
      </bottom>
      <diagonal/>
    </border>
    <border>
      <left/>
      <right/>
      <top/>
      <bottom style="medium">
        <color indexed="64"/>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thin">
        <color indexed="64"/>
      </bottom>
      <diagonal/>
    </border>
    <border>
      <left style="thin">
        <color theme="9" tint="-0.249977111117893"/>
      </left>
      <right/>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s>
  <cellStyleXfs count="6">
    <xf numFmtId="0" fontId="0" fillId="0" borderId="0"/>
    <xf numFmtId="0" fontId="2" fillId="2" borderId="0" applyNumberFormat="0" applyBorder="0" applyAlignment="0" applyProtection="0"/>
    <xf numFmtId="0" fontId="3" fillId="3" borderId="0" applyNumberFormat="0" applyBorder="0" applyAlignment="0" applyProtection="0"/>
    <xf numFmtId="0" fontId="4" fillId="0" borderId="0" applyNumberFormat="0" applyFill="0" applyBorder="0" applyAlignment="0" applyProtection="0">
      <alignment vertical="top"/>
      <protection locked="0"/>
    </xf>
    <xf numFmtId="164" fontId="5" fillId="0" borderId="0" applyFont="0" applyFill="0" applyBorder="0" applyAlignment="0" applyProtection="0"/>
    <xf numFmtId="0" fontId="5" fillId="0" borderId="0"/>
  </cellStyleXfs>
  <cellXfs count="128">
    <xf numFmtId="0" fontId="0" fillId="0" borderId="0" xfId="0"/>
    <xf numFmtId="0" fontId="8" fillId="0" borderId="0" xfId="3" applyFont="1" applyAlignment="1" applyProtection="1"/>
    <xf numFmtId="0" fontId="14" fillId="0" borderId="0" xfId="0" applyFont="1" applyProtection="1"/>
    <xf numFmtId="0" fontId="5" fillId="0" borderId="0" xfId="0" applyFont="1" applyProtection="1"/>
    <xf numFmtId="0" fontId="5" fillId="0" borderId="0" xfId="0" applyFont="1" applyFill="1" applyProtection="1"/>
    <xf numFmtId="165" fontId="5" fillId="0" borderId="0" xfId="0" applyNumberFormat="1" applyFont="1" applyProtection="1"/>
    <xf numFmtId="0" fontId="17" fillId="0" borderId="0" xfId="0" applyFont="1" applyFill="1" applyProtection="1"/>
    <xf numFmtId="0" fontId="14" fillId="0" borderId="0" xfId="0" applyFont="1" applyFill="1" applyProtection="1"/>
    <xf numFmtId="0" fontId="14" fillId="0" borderId="0" xfId="0" applyFont="1" applyBorder="1" applyAlignment="1" applyProtection="1">
      <alignment vertical="top" wrapText="1"/>
    </xf>
    <xf numFmtId="165" fontId="5" fillId="0" borderId="0" xfId="0" applyNumberFormat="1" applyFont="1" applyAlignment="1" applyProtection="1">
      <alignment vertical="top" wrapText="1"/>
    </xf>
    <xf numFmtId="165" fontId="14" fillId="0" borderId="0" xfId="0" applyNumberFormat="1" applyFont="1" applyProtection="1"/>
    <xf numFmtId="165" fontId="5" fillId="0" borderId="2" xfId="0" applyNumberFormat="1" applyFont="1" applyBorder="1" applyAlignment="1" applyProtection="1">
      <alignment vertical="top" wrapText="1"/>
    </xf>
    <xf numFmtId="165" fontId="5" fillId="0" borderId="0" xfId="0" applyNumberFormat="1" applyFont="1" applyBorder="1" applyAlignment="1" applyProtection="1">
      <alignment vertical="top" wrapText="1"/>
    </xf>
    <xf numFmtId="0" fontId="19" fillId="0" borderId="0" xfId="0" applyFont="1" applyProtection="1"/>
    <xf numFmtId="0" fontId="21" fillId="0" borderId="0" xfId="0" applyFont="1" applyProtection="1"/>
    <xf numFmtId="0" fontId="21" fillId="0" borderId="11" xfId="0" applyFont="1" applyBorder="1" applyProtection="1"/>
    <xf numFmtId="0" fontId="21" fillId="0" borderId="14" xfId="0" applyFont="1" applyBorder="1" applyProtection="1"/>
    <xf numFmtId="0" fontId="5" fillId="0" borderId="14" xfId="0" applyFont="1" applyFill="1" applyBorder="1" applyProtection="1"/>
    <xf numFmtId="0" fontId="5" fillId="0" borderId="14" xfId="0" applyFont="1" applyBorder="1" applyProtection="1"/>
    <xf numFmtId="165" fontId="5" fillId="0" borderId="14" xfId="0" applyNumberFormat="1" applyFont="1" applyBorder="1" applyProtection="1"/>
    <xf numFmtId="0" fontId="14" fillId="0" borderId="14" xfId="0" applyFont="1" applyBorder="1" applyProtection="1"/>
    <xf numFmtId="0" fontId="14" fillId="0" borderId="26" xfId="0" applyFont="1" applyBorder="1" applyProtection="1"/>
    <xf numFmtId="0" fontId="14" fillId="0" borderId="26" xfId="0" applyFont="1" applyBorder="1" applyAlignment="1" applyProtection="1">
      <alignment horizontal="right"/>
    </xf>
    <xf numFmtId="0" fontId="14" fillId="0" borderId="11" xfId="0" applyFont="1" applyBorder="1" applyProtection="1"/>
    <xf numFmtId="0" fontId="5" fillId="0" borderId="0" xfId="0" applyFont="1" applyAlignment="1" applyProtection="1"/>
    <xf numFmtId="0" fontId="5" fillId="0" borderId="0" xfId="0" applyFont="1" applyAlignment="1" applyProtection="1">
      <alignment horizontal="right" wrapText="1"/>
    </xf>
    <xf numFmtId="165" fontId="5" fillId="0" borderId="0" xfId="0" applyNumberFormat="1" applyFont="1" applyAlignment="1" applyProtection="1">
      <alignment horizontal="right" wrapText="1"/>
    </xf>
    <xf numFmtId="165" fontId="5" fillId="0" borderId="2" xfId="0" applyNumberFormat="1" applyFont="1" applyBorder="1" applyAlignment="1" applyProtection="1">
      <alignment horizontal="right" wrapText="1"/>
    </xf>
    <xf numFmtId="0" fontId="5" fillId="0" borderId="0" xfId="0" applyFont="1" applyBorder="1" applyAlignment="1" applyProtection="1">
      <alignment wrapText="1"/>
    </xf>
    <xf numFmtId="0" fontId="5" fillId="0" borderId="0" xfId="0" applyFont="1" applyBorder="1" applyAlignment="1" applyProtection="1">
      <alignment horizontal="right" wrapText="1"/>
    </xf>
    <xf numFmtId="165" fontId="5" fillId="0" borderId="0" xfId="0" applyNumberFormat="1" applyFont="1" applyBorder="1" applyAlignment="1" applyProtection="1">
      <alignment horizontal="right" wrapText="1"/>
    </xf>
    <xf numFmtId="0" fontId="5" fillId="0" borderId="2" xfId="0" applyFont="1" applyBorder="1" applyAlignment="1" applyProtection="1"/>
    <xf numFmtId="1" fontId="5" fillId="0" borderId="2" xfId="0" applyNumberFormat="1" applyFont="1" applyBorder="1" applyAlignment="1" applyProtection="1">
      <alignment horizontal="right" wrapText="1"/>
    </xf>
    <xf numFmtId="0" fontId="21" fillId="0" borderId="1" xfId="0" applyFont="1" applyBorder="1" applyAlignment="1" applyProtection="1">
      <alignment wrapText="1"/>
    </xf>
    <xf numFmtId="0" fontId="21" fillId="0" borderId="0" xfId="0" applyFont="1" applyAlignment="1" applyProtection="1"/>
    <xf numFmtId="0" fontId="21" fillId="0" borderId="0" xfId="0" applyFont="1" applyAlignment="1" applyProtection="1">
      <alignment horizontal="right" wrapText="1"/>
    </xf>
    <xf numFmtId="0" fontId="21" fillId="0" borderId="2" xfId="0" applyFont="1" applyBorder="1" applyAlignment="1" applyProtection="1">
      <alignment horizontal="right" wrapText="1"/>
    </xf>
    <xf numFmtId="0" fontId="21" fillId="0" borderId="2" xfId="0" applyFont="1" applyBorder="1" applyAlignment="1" applyProtection="1">
      <alignment wrapText="1"/>
    </xf>
    <xf numFmtId="165" fontId="5" fillId="0" borderId="0" xfId="0" applyNumberFormat="1" applyFont="1" applyAlignment="1" applyProtection="1"/>
    <xf numFmtId="165" fontId="24" fillId="0" borderId="0" xfId="0" applyNumberFormat="1" applyFont="1" applyProtection="1"/>
    <xf numFmtId="0" fontId="21" fillId="0" borderId="11" xfId="0" applyFont="1" applyBorder="1" applyAlignment="1" applyProtection="1">
      <alignment horizontal="center"/>
    </xf>
    <xf numFmtId="166" fontId="9" fillId="2" borderId="18" xfId="1" applyNumberFormat="1" applyFont="1" applyBorder="1" applyAlignment="1" applyProtection="1">
      <alignment horizontal="center"/>
      <protection locked="0"/>
    </xf>
    <xf numFmtId="0" fontId="10" fillId="2" borderId="19" xfId="1" applyFont="1" applyBorder="1" applyAlignment="1" applyProtection="1">
      <alignment horizontal="center"/>
      <protection locked="0"/>
    </xf>
    <xf numFmtId="0" fontId="10" fillId="2" borderId="21" xfId="1" applyFont="1" applyBorder="1" applyAlignment="1" applyProtection="1">
      <alignment horizontal="center"/>
      <protection locked="0"/>
    </xf>
    <xf numFmtId="0" fontId="5" fillId="0" borderId="0" xfId="5" applyFont="1" applyAlignment="1" applyProtection="1">
      <alignment wrapText="1"/>
    </xf>
    <xf numFmtId="0" fontId="7" fillId="0" borderId="0" xfId="5" applyFont="1" applyAlignment="1" applyProtection="1">
      <alignment wrapText="1"/>
    </xf>
    <xf numFmtId="0" fontId="5" fillId="0" borderId="0" xfId="5" applyFont="1" applyAlignment="1" applyProtection="1">
      <alignment horizontal="center" wrapText="1"/>
    </xf>
    <xf numFmtId="0" fontId="5" fillId="0" borderId="0" xfId="5" applyFont="1" applyProtection="1"/>
    <xf numFmtId="0" fontId="7" fillId="0" borderId="0" xfId="5" applyFont="1" applyProtection="1"/>
    <xf numFmtId="0" fontId="5" fillId="0" borderId="0" xfId="5" applyFont="1" applyAlignment="1" applyProtection="1">
      <alignment horizontal="center"/>
    </xf>
    <xf numFmtId="0" fontId="6" fillId="0" borderId="0" xfId="5" applyFont="1" applyProtection="1"/>
    <xf numFmtId="0" fontId="7" fillId="0" borderId="0" xfId="5" applyFont="1" applyAlignment="1" applyProtection="1">
      <alignment vertical="top"/>
    </xf>
    <xf numFmtId="0" fontId="7" fillId="0" borderId="0" xfId="5" applyFont="1" applyAlignment="1" applyProtection="1">
      <alignment vertical="top" wrapText="1"/>
    </xf>
    <xf numFmtId="0" fontId="7" fillId="0" borderId="17" xfId="5" applyFont="1" applyBorder="1" applyAlignment="1" applyProtection="1">
      <alignment horizontal="right"/>
    </xf>
    <xf numFmtId="0" fontId="7" fillId="0" borderId="16" xfId="5" applyFont="1" applyBorder="1" applyAlignment="1" applyProtection="1">
      <alignment horizontal="right"/>
    </xf>
    <xf numFmtId="0" fontId="11" fillId="0" borderId="16" xfId="5" applyFont="1" applyBorder="1" applyAlignment="1" applyProtection="1">
      <alignment horizontal="right"/>
    </xf>
    <xf numFmtId="0" fontId="5" fillId="0" borderId="0" xfId="5" applyFont="1" applyAlignment="1" applyProtection="1">
      <alignment vertical="top"/>
    </xf>
    <xf numFmtId="165" fontId="18" fillId="2" borderId="6" xfId="1" applyNumberFormat="1" applyFont="1" applyBorder="1" applyAlignment="1" applyProtection="1">
      <alignment horizontal="right"/>
      <protection locked="0"/>
    </xf>
    <xf numFmtId="165" fontId="18" fillId="2" borderId="0" xfId="1" applyNumberFormat="1" applyFont="1" applyBorder="1" applyAlignment="1" applyProtection="1">
      <alignment horizontal="right"/>
      <protection locked="0"/>
    </xf>
    <xf numFmtId="0" fontId="18" fillId="2" borderId="7" xfId="1" applyFont="1" applyBorder="1" applyAlignment="1" applyProtection="1">
      <alignment horizontal="right"/>
      <protection locked="0"/>
    </xf>
    <xf numFmtId="166" fontId="18" fillId="2" borderId="6" xfId="1" applyNumberFormat="1" applyFont="1" applyBorder="1" applyAlignment="1" applyProtection="1">
      <alignment horizontal="right"/>
      <protection locked="0"/>
    </xf>
    <xf numFmtId="166" fontId="18" fillId="2" borderId="0" xfId="1" applyNumberFormat="1" applyFont="1" applyBorder="1" applyAlignment="1" applyProtection="1">
      <alignment horizontal="right"/>
      <protection locked="0"/>
    </xf>
    <xf numFmtId="0" fontId="18" fillId="2" borderId="9" xfId="1" applyFont="1" applyBorder="1" applyAlignment="1" applyProtection="1">
      <alignment horizontal="right"/>
      <protection locked="0"/>
    </xf>
    <xf numFmtId="0" fontId="24" fillId="0" borderId="0" xfId="0" applyFont="1" applyProtection="1"/>
    <xf numFmtId="0" fontId="5" fillId="0" borderId="0" xfId="0" applyFont="1" applyAlignment="1" applyProtection="1">
      <alignment horizontal="right"/>
    </xf>
    <xf numFmtId="0" fontId="20" fillId="0" borderId="22" xfId="0" applyFont="1" applyBorder="1" applyAlignment="1" applyProtection="1">
      <alignment horizontal="center"/>
    </xf>
    <xf numFmtId="0" fontId="20" fillId="0" borderId="3" xfId="0" applyFont="1" applyBorder="1" applyProtection="1"/>
    <xf numFmtId="1" fontId="21" fillId="0" borderId="12" xfId="1" applyNumberFormat="1" applyFont="1" applyFill="1" applyBorder="1" applyAlignment="1" applyProtection="1">
      <alignment horizontal="right"/>
    </xf>
    <xf numFmtId="0" fontId="20" fillId="0" borderId="3" xfId="0" applyFont="1" applyBorder="1" applyAlignment="1" applyProtection="1">
      <alignment horizontal="center"/>
    </xf>
    <xf numFmtId="0" fontId="20" fillId="0" borderId="13" xfId="0" applyFont="1" applyBorder="1" applyAlignment="1" applyProtection="1">
      <alignment horizontal="center"/>
    </xf>
    <xf numFmtId="1" fontId="21" fillId="0" borderId="3" xfId="1" applyNumberFormat="1" applyFont="1" applyFill="1" applyBorder="1" applyAlignment="1" applyProtection="1">
      <alignment horizontal="right"/>
    </xf>
    <xf numFmtId="0" fontId="20" fillId="0" borderId="25" xfId="0" applyFont="1" applyBorder="1" applyAlignment="1" applyProtection="1">
      <alignment horizontal="center"/>
    </xf>
    <xf numFmtId="0" fontId="22" fillId="3" borderId="4" xfId="2" applyFont="1" applyBorder="1" applyAlignment="1" applyProtection="1">
      <alignment horizontal="right"/>
    </xf>
    <xf numFmtId="165" fontId="16" fillId="3" borderId="5" xfId="2" applyNumberFormat="1" applyFont="1" applyBorder="1" applyAlignment="1" applyProtection="1">
      <alignment horizontal="right"/>
    </xf>
    <xf numFmtId="166" fontId="20" fillId="0" borderId="0" xfId="0" applyNumberFormat="1" applyFont="1" applyProtection="1"/>
    <xf numFmtId="0" fontId="18" fillId="0" borderId="0" xfId="1" applyFont="1" applyFill="1" applyBorder="1" applyAlignment="1" applyProtection="1">
      <alignment horizontal="right"/>
    </xf>
    <xf numFmtId="166" fontId="16" fillId="3" borderId="24" xfId="2" applyNumberFormat="1" applyFont="1" applyBorder="1" applyAlignment="1" applyProtection="1">
      <alignment horizontal="right"/>
    </xf>
    <xf numFmtId="166" fontId="13" fillId="0" borderId="0" xfId="0" applyNumberFormat="1" applyFont="1" applyAlignment="1" applyProtection="1">
      <alignment horizontal="right"/>
    </xf>
    <xf numFmtId="0" fontId="22" fillId="3" borderId="6" xfId="2" applyFont="1" applyBorder="1" applyAlignment="1" applyProtection="1">
      <alignment horizontal="right"/>
    </xf>
    <xf numFmtId="165" fontId="16" fillId="3" borderId="7" xfId="2" applyNumberFormat="1" applyFont="1" applyBorder="1" applyAlignment="1" applyProtection="1">
      <alignment horizontal="right"/>
    </xf>
    <xf numFmtId="168" fontId="18" fillId="0" borderId="0" xfId="4" applyNumberFormat="1" applyFont="1" applyFill="1" applyBorder="1" applyAlignment="1" applyProtection="1">
      <alignment horizontal="right"/>
    </xf>
    <xf numFmtId="165" fontId="18" fillId="0" borderId="0" xfId="1" applyNumberFormat="1" applyFont="1" applyFill="1" applyBorder="1" applyAlignment="1" applyProtection="1">
      <alignment horizontal="right"/>
    </xf>
    <xf numFmtId="2" fontId="16" fillId="3" borderId="7" xfId="2" applyNumberFormat="1" applyFont="1" applyBorder="1" applyAlignment="1" applyProtection="1">
      <alignment horizontal="right"/>
    </xf>
    <xf numFmtId="0" fontId="22" fillId="3" borderId="8" xfId="2" applyFont="1" applyBorder="1" applyAlignment="1" applyProtection="1">
      <alignment horizontal="right"/>
    </xf>
    <xf numFmtId="166" fontId="16" fillId="3" borderId="9" xfId="2" applyNumberFormat="1" applyFont="1" applyBorder="1" applyAlignment="1" applyProtection="1">
      <alignment horizontal="right"/>
    </xf>
    <xf numFmtId="0" fontId="18" fillId="0" borderId="14" xfId="1" applyFont="1" applyFill="1" applyBorder="1" applyAlignment="1" applyProtection="1">
      <alignment horizontal="right"/>
    </xf>
    <xf numFmtId="166" fontId="13" fillId="0" borderId="23" xfId="0" applyNumberFormat="1" applyFont="1" applyBorder="1" applyProtection="1"/>
    <xf numFmtId="166" fontId="13" fillId="0" borderId="0" xfId="0" applyNumberFormat="1" applyFont="1" applyProtection="1"/>
    <xf numFmtId="2" fontId="15" fillId="0" borderId="0" xfId="0" applyNumberFormat="1" applyFont="1" applyProtection="1"/>
    <xf numFmtId="2" fontId="13" fillId="0" borderId="0" xfId="0" applyNumberFormat="1" applyFont="1" applyProtection="1"/>
    <xf numFmtId="0" fontId="25" fillId="0" borderId="0" xfId="0" applyFont="1" applyProtection="1"/>
    <xf numFmtId="166" fontId="18" fillId="0" borderId="0" xfId="1" applyNumberFormat="1" applyFont="1" applyFill="1" applyProtection="1"/>
    <xf numFmtId="165" fontId="18" fillId="0" borderId="0" xfId="1" applyNumberFormat="1" applyFont="1" applyFill="1" applyProtection="1"/>
    <xf numFmtId="167" fontId="5" fillId="0" borderId="0" xfId="0" applyNumberFormat="1" applyFont="1" applyAlignment="1" applyProtection="1"/>
    <xf numFmtId="1" fontId="21" fillId="0" borderId="0" xfId="0" applyNumberFormat="1" applyFont="1" applyAlignment="1" applyProtection="1"/>
    <xf numFmtId="165" fontId="21" fillId="0" borderId="0" xfId="0" applyNumberFormat="1" applyFont="1" applyAlignment="1" applyProtection="1">
      <alignment horizontal="right"/>
    </xf>
    <xf numFmtId="0" fontId="21" fillId="0" borderId="0" xfId="0" applyFont="1" applyAlignment="1" applyProtection="1">
      <alignment horizontal="right"/>
    </xf>
    <xf numFmtId="0" fontId="5" fillId="0" borderId="14" xfId="0" applyFont="1" applyBorder="1" applyAlignment="1" applyProtection="1">
      <alignment horizontal="right"/>
    </xf>
    <xf numFmtId="0" fontId="10" fillId="2" borderId="19" xfId="1" applyFont="1" applyBorder="1" applyAlignment="1" applyProtection="1">
      <alignment horizontal="center"/>
    </xf>
    <xf numFmtId="0" fontId="11" fillId="0" borderId="20" xfId="5" applyFont="1" applyBorder="1" applyAlignment="1" applyProtection="1">
      <alignment horizontal="right" wrapText="1"/>
    </xf>
    <xf numFmtId="0" fontId="7" fillId="0" borderId="0" xfId="5" applyFont="1" applyFill="1" applyAlignment="1" applyProtection="1">
      <alignment wrapText="1"/>
    </xf>
    <xf numFmtId="0" fontId="13" fillId="6" borderId="5" xfId="0" applyFont="1" applyFill="1" applyBorder="1" applyProtection="1"/>
    <xf numFmtId="0" fontId="15" fillId="6" borderId="9" xfId="0" applyFont="1" applyFill="1" applyBorder="1" applyProtection="1"/>
    <xf numFmtId="0" fontId="13" fillId="6" borderId="7" xfId="0" quotePrefix="1" applyFont="1" applyFill="1" applyBorder="1" applyProtection="1"/>
    <xf numFmtId="0" fontId="13" fillId="6" borderId="9" xfId="0" quotePrefix="1" applyFont="1" applyFill="1" applyBorder="1" applyProtection="1"/>
    <xf numFmtId="0" fontId="13" fillId="6" borderId="22" xfId="0" quotePrefix="1" applyFont="1" applyFill="1" applyBorder="1" applyAlignment="1" applyProtection="1">
      <alignment horizontal="right"/>
    </xf>
    <xf numFmtId="0" fontId="13" fillId="6" borderId="23" xfId="0" quotePrefix="1" applyFont="1" applyFill="1" applyBorder="1" applyAlignment="1" applyProtection="1">
      <alignment horizontal="right"/>
    </xf>
    <xf numFmtId="0" fontId="1" fillId="6" borderId="22" xfId="0" applyFont="1" applyFill="1" applyBorder="1" applyProtection="1"/>
    <xf numFmtId="165" fontId="18" fillId="2" borderId="8" xfId="1" applyNumberFormat="1" applyFont="1" applyBorder="1" applyAlignment="1" applyProtection="1">
      <alignment horizontal="right"/>
      <protection locked="0"/>
    </xf>
    <xf numFmtId="165" fontId="18" fillId="2" borderId="14" xfId="1" applyNumberFormat="1" applyFont="1" applyBorder="1" applyAlignment="1" applyProtection="1">
      <alignment horizontal="right"/>
      <protection locked="0"/>
    </xf>
    <xf numFmtId="166" fontId="18" fillId="2" borderId="8" xfId="1" applyNumberFormat="1" applyFont="1" applyBorder="1" applyAlignment="1" applyProtection="1">
      <alignment horizontal="right"/>
      <protection locked="0"/>
    </xf>
    <xf numFmtId="166" fontId="18" fillId="2" borderId="14" xfId="1" applyNumberFormat="1" applyFont="1" applyBorder="1" applyAlignment="1" applyProtection="1">
      <alignment horizontal="right"/>
      <protection locked="0"/>
    </xf>
    <xf numFmtId="0" fontId="1" fillId="6" borderId="23" xfId="0" applyFont="1" applyFill="1" applyBorder="1" applyProtection="1"/>
    <xf numFmtId="0" fontId="1" fillId="6" borderId="4" xfId="0" applyFont="1" applyFill="1" applyBorder="1" applyProtection="1"/>
    <xf numFmtId="0" fontId="6" fillId="5" borderId="15" xfId="5" applyFont="1" applyFill="1" applyBorder="1" applyAlignment="1" applyProtection="1">
      <alignment horizontal="center" wrapText="1"/>
    </xf>
    <xf numFmtId="0" fontId="6" fillId="5" borderId="0" xfId="5" applyFont="1" applyFill="1" applyBorder="1" applyAlignment="1" applyProtection="1">
      <alignment horizontal="center" wrapText="1"/>
    </xf>
    <xf numFmtId="0" fontId="7" fillId="0" borderId="0" xfId="5" applyFont="1" applyFill="1" applyAlignment="1" applyProtection="1">
      <alignment horizontal="left"/>
    </xf>
    <xf numFmtId="169" fontId="8" fillId="0" borderId="16" xfId="3" applyNumberFormat="1" applyFont="1" applyFill="1" applyBorder="1" applyAlignment="1" applyProtection="1">
      <alignment horizontal="left"/>
      <protection locked="0"/>
    </xf>
    <xf numFmtId="169" fontId="8" fillId="0" borderId="0" xfId="3" applyNumberFormat="1" applyFont="1" applyFill="1" applyBorder="1" applyAlignment="1" applyProtection="1">
      <alignment horizontal="left"/>
      <protection locked="0"/>
    </xf>
    <xf numFmtId="0" fontId="7" fillId="0" borderId="0" xfId="5" applyFont="1" applyAlignment="1" applyProtection="1">
      <alignment horizontal="left" vertical="top" wrapText="1"/>
    </xf>
    <xf numFmtId="0" fontId="23" fillId="0" borderId="10" xfId="0" applyFont="1" applyBorder="1" applyAlignment="1" applyProtection="1">
      <alignment horizontal="center" wrapText="1"/>
    </xf>
    <xf numFmtId="0" fontId="21" fillId="4" borderId="2" xfId="0" applyFont="1" applyFill="1" applyBorder="1" applyAlignment="1" applyProtection="1">
      <alignment horizontal="center"/>
    </xf>
    <xf numFmtId="0" fontId="5" fillId="4" borderId="2" xfId="0" applyFont="1" applyFill="1" applyBorder="1" applyAlignment="1" applyProtection="1">
      <alignment horizontal="center"/>
    </xf>
    <xf numFmtId="0" fontId="21" fillId="0" borderId="11" xfId="0" applyFont="1" applyBorder="1" applyAlignment="1" applyProtection="1">
      <alignment horizontal="center"/>
    </xf>
    <xf numFmtId="0" fontId="20" fillId="0" borderId="4" xfId="0" applyFont="1" applyBorder="1" applyAlignment="1" applyProtection="1">
      <alignment horizontal="center"/>
    </xf>
    <xf numFmtId="0" fontId="20" fillId="0" borderId="11" xfId="0" applyFont="1" applyBorder="1" applyAlignment="1" applyProtection="1">
      <alignment horizontal="center"/>
    </xf>
    <xf numFmtId="0" fontId="20" fillId="0" borderId="5" xfId="0" applyFont="1" applyBorder="1" applyAlignment="1" applyProtection="1">
      <alignment horizontal="center"/>
    </xf>
    <xf numFmtId="166" fontId="20" fillId="0" borderId="0" xfId="0" applyNumberFormat="1" applyFont="1" applyAlignment="1" applyProtection="1">
      <alignment horizontal="left"/>
    </xf>
  </cellXfs>
  <cellStyles count="6">
    <cellStyle name="Comma" xfId="4" builtinId="3"/>
    <cellStyle name="Good" xfId="1" builtinId="26"/>
    <cellStyle name="Hyperlink" xfId="3" builtinId="8"/>
    <cellStyle name="Neutral" xfId="2" builtinId="28"/>
    <cellStyle name="Normal" xfId="0" builtinId="0"/>
    <cellStyle name="Normal 3 2 2" xfId="5"/>
  </cellStyles>
  <dxfs count="0"/>
  <tableStyles count="0" defaultTableStyle="TableStyleMedium9" defaultPivotStyle="PivotStyleLight16"/>
  <colors>
    <mruColors>
      <color rgb="FFFF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Méthode!$A$1</c:f>
          <c:strCache>
            <c:ptCount val="1"/>
            <c:pt idx="0">
              <c:v>Kenya 1989-1999</c:v>
            </c:pt>
          </c:strCache>
        </c:strRef>
      </c:tx>
      <c:layout/>
      <c:overlay val="0"/>
    </c:title>
    <c:autoTitleDeleted val="0"/>
    <c:plotArea>
      <c:layout>
        <c:manualLayout>
          <c:layoutTarget val="inner"/>
          <c:xMode val="edge"/>
          <c:yMode val="edge"/>
          <c:x val="5.4784360772732882E-2"/>
          <c:y val="0.12973772090513738"/>
          <c:w val="0.9269842295229892"/>
          <c:h val="0.72238504253659475"/>
        </c:manualLayout>
      </c:layout>
      <c:lineChart>
        <c:grouping val="standard"/>
        <c:varyColors val="0"/>
        <c:ser>
          <c:idx val="0"/>
          <c:order val="0"/>
          <c:tx>
            <c:strRef>
              <c:f>Méthode!$H$3:$H$4</c:f>
              <c:strCache>
                <c:ptCount val="1"/>
                <c:pt idx="0">
                  <c:v>Taux de fécondité par âge observés (âge décalé)</c:v>
                </c:pt>
              </c:strCache>
            </c:strRef>
          </c:tx>
          <c:marker>
            <c:symbol val="none"/>
          </c:marker>
          <c:cat>
            <c:strRef>
              <c:f>Méthode!$A$6:$A$12</c:f>
              <c:strCache>
                <c:ptCount val="7"/>
                <c:pt idx="0">
                  <c:v>15-19</c:v>
                </c:pt>
                <c:pt idx="1">
                  <c:v>20-24</c:v>
                </c:pt>
                <c:pt idx="2">
                  <c:v>25-29</c:v>
                </c:pt>
                <c:pt idx="3">
                  <c:v>30-34</c:v>
                </c:pt>
                <c:pt idx="4">
                  <c:v>35-39</c:v>
                </c:pt>
                <c:pt idx="5">
                  <c:v>40-44</c:v>
                </c:pt>
                <c:pt idx="6">
                  <c:v>45-49</c:v>
                </c:pt>
              </c:strCache>
            </c:strRef>
          </c:cat>
          <c:val>
            <c:numRef>
              <c:f>Méthode!$H$6:$H$12</c:f>
              <c:numCache>
                <c:formatCode>0.0000</c:formatCode>
                <c:ptCount val="7"/>
                <c:pt idx="0">
                  <c:v>8.9322577914835416E-2</c:v>
                </c:pt>
                <c:pt idx="1">
                  <c:v>0.22799108328105977</c:v>
                </c:pt>
                <c:pt idx="2">
                  <c:v>0.22165916199657382</c:v>
                </c:pt>
                <c:pt idx="3">
                  <c:v>0.18179601543895063</c:v>
                </c:pt>
                <c:pt idx="4">
                  <c:v>0.13258677210670541</c:v>
                </c:pt>
                <c:pt idx="5">
                  <c:v>6.7332531197528217E-2</c:v>
                </c:pt>
                <c:pt idx="6">
                  <c:v>2.7731481070315013E-2</c:v>
                </c:pt>
              </c:numCache>
            </c:numRef>
          </c:val>
          <c:smooth val="0"/>
        </c:ser>
        <c:ser>
          <c:idx val="1"/>
          <c:order val="1"/>
          <c:tx>
            <c:strRef>
              <c:f>Méthode!$J$3:$J$4</c:f>
              <c:strCache>
                <c:ptCount val="1"/>
                <c:pt idx="0">
                  <c:v>Taux corrigés (âge réel)</c:v>
                </c:pt>
              </c:strCache>
            </c:strRef>
          </c:tx>
          <c:spPr>
            <a:ln>
              <a:solidFill>
                <a:srgbClr val="FF33CC"/>
              </a:solidFill>
              <a:prstDash val="sysDash"/>
            </a:ln>
          </c:spPr>
          <c:marker>
            <c:symbol val="none"/>
          </c:marker>
          <c:cat>
            <c:strRef>
              <c:f>Méthode!$A$6:$A$12</c:f>
              <c:strCache>
                <c:ptCount val="7"/>
                <c:pt idx="0">
                  <c:v>15-19</c:v>
                </c:pt>
                <c:pt idx="1">
                  <c:v>20-24</c:v>
                </c:pt>
                <c:pt idx="2">
                  <c:v>25-29</c:v>
                </c:pt>
                <c:pt idx="3">
                  <c:v>30-34</c:v>
                </c:pt>
                <c:pt idx="4">
                  <c:v>35-39</c:v>
                </c:pt>
                <c:pt idx="5">
                  <c:v>40-44</c:v>
                </c:pt>
                <c:pt idx="6">
                  <c:v>45-49</c:v>
                </c:pt>
              </c:strCache>
            </c:strRef>
          </c:cat>
          <c:val>
            <c:numRef>
              <c:f>Méthode!$J$6:$J$12</c:f>
              <c:numCache>
                <c:formatCode>0.000</c:formatCode>
                <c:ptCount val="7"/>
                <c:pt idx="0">
                  <c:v>0.13914763087294832</c:v>
                </c:pt>
                <c:pt idx="1">
                  <c:v>0.266744002000247</c:v>
                </c:pt>
                <c:pt idx="2">
                  <c:v>0.26069710279156999</c:v>
                </c:pt>
                <c:pt idx="3">
                  <c:v>0.21313212614787505</c:v>
                </c:pt>
                <c:pt idx="4">
                  <c:v>0.15255366642985901</c:v>
                </c:pt>
                <c:pt idx="5">
                  <c:v>6.9989396475704874E-2</c:v>
                </c:pt>
                <c:pt idx="6">
                  <c:v>9.1185100419876267E-3</c:v>
                </c:pt>
              </c:numCache>
            </c:numRef>
          </c:val>
          <c:smooth val="0"/>
        </c:ser>
        <c:dLbls>
          <c:showLegendKey val="0"/>
          <c:showVal val="0"/>
          <c:showCatName val="0"/>
          <c:showSerName val="0"/>
          <c:showPercent val="0"/>
          <c:showBubbleSize val="0"/>
        </c:dLbls>
        <c:marker val="1"/>
        <c:smooth val="0"/>
        <c:axId val="294327040"/>
        <c:axId val="294328960"/>
      </c:lineChart>
      <c:catAx>
        <c:axId val="294327040"/>
        <c:scaling>
          <c:orientation val="minMax"/>
        </c:scaling>
        <c:delete val="0"/>
        <c:axPos val="b"/>
        <c:title>
          <c:tx>
            <c:rich>
              <a:bodyPr/>
              <a:lstStyle/>
              <a:p>
                <a:pPr>
                  <a:defRPr/>
                </a:pPr>
                <a:r>
                  <a:rPr lang="en-ZA"/>
                  <a:t>Age group</a:t>
                </a:r>
              </a:p>
            </c:rich>
          </c:tx>
          <c:layout/>
          <c:overlay val="0"/>
        </c:title>
        <c:numFmt formatCode="0.0000" sourceLinked="1"/>
        <c:majorTickMark val="out"/>
        <c:minorTickMark val="none"/>
        <c:tickLblPos val="nextTo"/>
        <c:crossAx val="294328960"/>
        <c:crosses val="autoZero"/>
        <c:auto val="1"/>
        <c:lblAlgn val="ctr"/>
        <c:lblOffset val="100"/>
        <c:noMultiLvlLbl val="0"/>
      </c:catAx>
      <c:valAx>
        <c:axId val="294328960"/>
        <c:scaling>
          <c:orientation val="minMax"/>
        </c:scaling>
        <c:delete val="0"/>
        <c:axPos val="l"/>
        <c:numFmt formatCode="0.00" sourceLinked="0"/>
        <c:majorTickMark val="out"/>
        <c:minorTickMark val="none"/>
        <c:tickLblPos val="nextTo"/>
        <c:crossAx val="294327040"/>
        <c:crosses val="autoZero"/>
        <c:crossBetween val="between"/>
      </c:valAx>
      <c:spPr>
        <a:solidFill>
          <a:schemeClr val="bg1"/>
        </a:solidFill>
      </c:spPr>
    </c:plotArea>
    <c:legend>
      <c:legendPos val="b"/>
      <c:layout/>
      <c:overlay val="0"/>
    </c:legend>
    <c:plotVisOnly val="0"/>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078" l="0.70000000000000062" r="0.70000000000000062" t="0.750000000000000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F-points</c:v>
          </c:tx>
          <c:spPr>
            <a:ln>
              <a:noFill/>
            </a:ln>
          </c:spPr>
          <c:trendline>
            <c:spPr>
              <a:ln w="28575">
                <a:solidFill>
                  <a:schemeClr val="accent1"/>
                </a:solidFill>
              </a:ln>
            </c:spPr>
            <c:trendlineType val="linear"/>
            <c:dispRSqr val="0"/>
            <c:dispEq val="0"/>
          </c:trendline>
          <c:xVal>
            <c:numRef>
              <c:f>Méthode!$W$4:$W$10</c:f>
              <c:numCache>
                <c:formatCode>0.0000</c:formatCode>
                <c:ptCount val="7"/>
                <c:pt idx="0">
                  <c:v>-2.4384841453180206</c:v>
                </c:pt>
                <c:pt idx="1">
                  <c:v>-1.4527111363647451</c:v>
                </c:pt>
                <c:pt idx="2">
                  <c:v>-0.74260265424673</c:v>
                </c:pt>
                <c:pt idx="3">
                  <c:v>-3.6423874753142363E-2</c:v>
                </c:pt>
                <c:pt idx="4">
                  <c:v>0.84054780591080702</c:v>
                </c:pt>
                <c:pt idx="5">
                  <c:v>2.179944634001882</c:v>
                </c:pt>
                <c:pt idx="6">
                  <c:v>4.5314818046459751</c:v>
                </c:pt>
              </c:numCache>
            </c:numRef>
          </c:xVal>
          <c:yVal>
            <c:numRef>
              <c:f>Méthode!$V$4:$V$10</c:f>
              <c:numCache>
                <c:formatCode>0.0000</c:formatCode>
                <c:ptCount val="7"/>
                <c:pt idx="0">
                  <c:v>#N/A</c:v>
                </c:pt>
                <c:pt idx="1">
                  <c:v>-1.5683029232912846</c:v>
                </c:pt>
                <c:pt idx="2">
                  <c:v>-0.78137251007024244</c:v>
                </c:pt>
                <c:pt idx="3">
                  <c:v>-6.0044802722946544E-2</c:v>
                </c:pt>
                <c:pt idx="4">
                  <c:v>0.81719194539610729</c:v>
                </c:pt>
                <c:pt idx="5">
                  <c:v>2.1368189374912943</c:v>
                </c:pt>
                <c:pt idx="6">
                  <c:v>3.5164714563563866</c:v>
                </c:pt>
              </c:numCache>
            </c:numRef>
          </c:yVal>
          <c:smooth val="0"/>
        </c:ser>
        <c:ser>
          <c:idx val="1"/>
          <c:order val="1"/>
          <c:tx>
            <c:v>P-points</c:v>
          </c:tx>
          <c:spPr>
            <a:ln>
              <a:noFill/>
              <a:prstDash val="sysDash"/>
            </a:ln>
          </c:spPr>
          <c:marker>
            <c:symbol val="square"/>
            <c:size val="5"/>
            <c:spPr>
              <a:solidFill>
                <a:srgbClr val="FF33CC"/>
              </a:solidFill>
            </c:spPr>
          </c:marker>
          <c:trendline>
            <c:spPr>
              <a:ln w="28575">
                <a:solidFill>
                  <a:srgbClr val="FF66FF"/>
                </a:solidFill>
              </a:ln>
            </c:spPr>
            <c:trendlineType val="linear"/>
            <c:dispRSqr val="0"/>
            <c:dispEq val="0"/>
          </c:trendline>
          <c:xVal>
            <c:numRef>
              <c:f>Méthode!$W$16:$W$22</c:f>
              <c:numCache>
                <c:formatCode>0.0000</c:formatCode>
                <c:ptCount val="7"/>
                <c:pt idx="0">
                  <c:v>-2.6605532578841791</c:v>
                </c:pt>
                <c:pt idx="1">
                  <c:v>-1.746661976392049</c:v>
                </c:pt>
                <c:pt idx="2">
                  <c:v>-1.0158866417223078</c:v>
                </c:pt>
                <c:pt idx="3">
                  <c:v>-0.33492430178104132</c:v>
                </c:pt>
                <c:pt idx="4">
                  <c:v>0.44064864091055989</c:v>
                </c:pt>
                <c:pt idx="5">
                  <c:v>1.5161902940480383</c:v>
                </c:pt>
                <c:pt idx="6">
                  <c:v>3.2238040870214846</c:v>
                </c:pt>
              </c:numCache>
            </c:numRef>
          </c:xVal>
          <c:yVal>
            <c:numRef>
              <c:f>Méthode!$V$16:$V$22</c:f>
              <c:numCache>
                <c:formatCode>0.0000</c:formatCode>
                <c:ptCount val="7"/>
                <c:pt idx="0">
                  <c:v>#N/A</c:v>
                </c:pt>
                <c:pt idx="1">
                  <c:v>-1.7338140235987023</c:v>
                </c:pt>
                <c:pt idx="2">
                  <c:v>-1.0150119767485615</c:v>
                </c:pt>
                <c:pt idx="3">
                  <c:v>-0.4731226205116803</c:v>
                </c:pt>
                <c:pt idx="4">
                  <c:v>0.5121458244318009</c:v>
                </c:pt>
                <c:pt idx="5">
                  <c:v>1.1947840715803979</c:v>
                </c:pt>
                <c:pt idx="6">
                  <c:v>#N/A</c:v>
                </c:pt>
              </c:numCache>
            </c:numRef>
          </c:yVal>
          <c:smooth val="0"/>
        </c:ser>
        <c:dLbls>
          <c:showLegendKey val="0"/>
          <c:showVal val="0"/>
          <c:showCatName val="0"/>
          <c:showSerName val="0"/>
          <c:showPercent val="0"/>
          <c:showBubbleSize val="0"/>
        </c:dLbls>
        <c:axId val="294414208"/>
        <c:axId val="294428672"/>
      </c:scatterChart>
      <c:valAx>
        <c:axId val="294414208"/>
        <c:scaling>
          <c:orientation val="minMax"/>
        </c:scaling>
        <c:delete val="0"/>
        <c:axPos val="b"/>
        <c:title>
          <c:tx>
            <c:rich>
              <a:bodyPr/>
              <a:lstStyle/>
              <a:p>
                <a:pPr>
                  <a:defRPr/>
                </a:pPr>
                <a:r>
                  <a:rPr lang="en-ZA" i="1"/>
                  <a:t>g</a:t>
                </a:r>
                <a:r>
                  <a:rPr lang="en-ZA"/>
                  <a:t>()</a:t>
                </a:r>
              </a:p>
            </c:rich>
          </c:tx>
          <c:layout/>
          <c:overlay val="0"/>
        </c:title>
        <c:numFmt formatCode="0" sourceLinked="0"/>
        <c:majorTickMark val="out"/>
        <c:minorTickMark val="none"/>
        <c:tickLblPos val="nextTo"/>
        <c:crossAx val="294428672"/>
        <c:crosses val="autoZero"/>
        <c:crossBetween val="midCat"/>
        <c:majorUnit val="1"/>
      </c:valAx>
      <c:valAx>
        <c:axId val="294428672"/>
        <c:scaling>
          <c:orientation val="minMax"/>
        </c:scaling>
        <c:delete val="0"/>
        <c:axPos val="l"/>
        <c:title>
          <c:tx>
            <c:rich>
              <a:bodyPr rot="-5400000" vert="horz"/>
              <a:lstStyle/>
              <a:p>
                <a:pPr>
                  <a:defRPr/>
                </a:pPr>
                <a:r>
                  <a:rPr lang="en-US" i="1"/>
                  <a:t>z</a:t>
                </a:r>
                <a:r>
                  <a:rPr lang="en-US"/>
                  <a:t>()-</a:t>
                </a:r>
                <a:r>
                  <a:rPr lang="en-US" i="1"/>
                  <a:t>e</a:t>
                </a:r>
                <a:r>
                  <a:rPr lang="en-US"/>
                  <a:t>()</a:t>
                </a:r>
              </a:p>
            </c:rich>
          </c:tx>
          <c:layout/>
          <c:overlay val="0"/>
        </c:title>
        <c:numFmt formatCode="0" sourceLinked="0"/>
        <c:majorTickMark val="out"/>
        <c:minorTickMark val="none"/>
        <c:tickLblPos val="nextTo"/>
        <c:crossAx val="294414208"/>
        <c:crosses val="autoZero"/>
        <c:crossBetween val="midCat"/>
      </c:valAx>
      <c:spPr>
        <a:solidFill>
          <a:schemeClr val="bg1"/>
        </a:solidFill>
      </c:spPr>
    </c:plotArea>
    <c:legend>
      <c:legendPos val="b"/>
      <c:legendEntry>
        <c:idx val="2"/>
        <c:delete val="1"/>
      </c:legendEntry>
      <c:legendEntry>
        <c:idx val="3"/>
        <c:delete val="1"/>
      </c:legendEntry>
      <c:layout/>
      <c:overlay val="0"/>
    </c:legend>
    <c:plotVisOnly val="0"/>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F-points</c:v>
          </c:tx>
          <c:spPr>
            <a:ln>
              <a:noFill/>
            </a:ln>
          </c:spPr>
          <c:trendline>
            <c:spPr>
              <a:ln w="28575">
                <a:solidFill>
                  <a:schemeClr val="accent1"/>
                </a:solidFill>
              </a:ln>
            </c:spPr>
            <c:trendlineType val="linear"/>
            <c:dispRSqr val="0"/>
            <c:dispEq val="1"/>
            <c:trendlineLbl>
              <c:layout>
                <c:manualLayout>
                  <c:x val="-6.4960625076904172E-2"/>
                  <c:y val="1.6972437408146621E-2"/>
                </c:manualLayout>
              </c:layout>
              <c:numFmt formatCode="General" sourceLinked="0"/>
              <c:txPr>
                <a:bodyPr/>
                <a:lstStyle/>
                <a:p>
                  <a:pPr>
                    <a:defRPr>
                      <a:solidFill>
                        <a:schemeClr val="accent1"/>
                      </a:solidFill>
                    </a:defRPr>
                  </a:pPr>
                  <a:endParaRPr lang="en-US"/>
                </a:p>
              </c:txPr>
            </c:trendlineLbl>
          </c:trendline>
          <c:xVal>
            <c:numRef>
              <c:f>Méthode!$Z$4:$Z$10</c:f>
              <c:numCache>
                <c:formatCode>0.0000</c:formatCode>
                <c:ptCount val="7"/>
                <c:pt idx="0">
                  <c:v>#N/A</c:v>
                </c:pt>
                <c:pt idx="1">
                  <c:v>#N/A</c:v>
                </c:pt>
                <c:pt idx="2">
                  <c:v>-0.74260265424673</c:v>
                </c:pt>
                <c:pt idx="3">
                  <c:v>-3.6423874753142363E-2</c:v>
                </c:pt>
                <c:pt idx="4">
                  <c:v>0.84054780591080702</c:v>
                </c:pt>
                <c:pt idx="5">
                  <c:v>2.179944634001882</c:v>
                </c:pt>
                <c:pt idx="6">
                  <c:v>#N/A</c:v>
                </c:pt>
              </c:numCache>
            </c:numRef>
          </c:xVal>
          <c:yVal>
            <c:numRef>
              <c:f>Méthode!$Y$4:$Y$10</c:f>
              <c:numCache>
                <c:formatCode>0.0000</c:formatCode>
                <c:ptCount val="7"/>
                <c:pt idx="0">
                  <c:v>#N/A</c:v>
                </c:pt>
                <c:pt idx="1">
                  <c:v>#N/A</c:v>
                </c:pt>
                <c:pt idx="2">
                  <c:v>-0.78137251007024244</c:v>
                </c:pt>
                <c:pt idx="3">
                  <c:v>-6.0044802722946544E-2</c:v>
                </c:pt>
                <c:pt idx="4">
                  <c:v>0.81719194539610729</c:v>
                </c:pt>
                <c:pt idx="5">
                  <c:v>2.1368189374912943</c:v>
                </c:pt>
                <c:pt idx="6">
                  <c:v>#N/A</c:v>
                </c:pt>
              </c:numCache>
            </c:numRef>
          </c:yVal>
          <c:smooth val="0"/>
        </c:ser>
        <c:ser>
          <c:idx val="1"/>
          <c:order val="1"/>
          <c:tx>
            <c:v>P-points</c:v>
          </c:tx>
          <c:spPr>
            <a:ln>
              <a:noFill/>
              <a:prstDash val="sysDash"/>
            </a:ln>
          </c:spPr>
          <c:marker>
            <c:symbol val="square"/>
            <c:size val="5"/>
            <c:spPr>
              <a:solidFill>
                <a:srgbClr val="FF33CC"/>
              </a:solidFill>
            </c:spPr>
          </c:marker>
          <c:trendline>
            <c:spPr>
              <a:ln w="28575">
                <a:solidFill>
                  <a:srgbClr val="FF66FF"/>
                </a:solidFill>
              </a:ln>
            </c:spPr>
            <c:trendlineType val="linear"/>
            <c:dispRSqr val="0"/>
            <c:dispEq val="1"/>
            <c:trendlineLbl>
              <c:layout>
                <c:manualLayout>
                  <c:x val="-0.17431534801689863"/>
                  <c:y val="0.37051752940931248"/>
                </c:manualLayout>
              </c:layout>
              <c:numFmt formatCode="General" sourceLinked="0"/>
              <c:txPr>
                <a:bodyPr/>
                <a:lstStyle/>
                <a:p>
                  <a:pPr>
                    <a:defRPr>
                      <a:solidFill>
                        <a:srgbClr val="FF33CC"/>
                      </a:solidFill>
                    </a:defRPr>
                  </a:pPr>
                  <a:endParaRPr lang="en-US"/>
                </a:p>
              </c:txPr>
            </c:trendlineLbl>
          </c:trendline>
          <c:xVal>
            <c:numRef>
              <c:f>Méthode!$Z$16:$Z$22</c:f>
              <c:numCache>
                <c:formatCode>0.0000</c:formatCode>
                <c:ptCount val="7"/>
                <c:pt idx="0">
                  <c:v>#N/A</c:v>
                </c:pt>
                <c:pt idx="1">
                  <c:v>#N/A</c:v>
                </c:pt>
                <c:pt idx="2">
                  <c:v>-1.0158866417223078</c:v>
                </c:pt>
                <c:pt idx="3">
                  <c:v>-0.33492430178104132</c:v>
                </c:pt>
                <c:pt idx="4">
                  <c:v>0.44064864091055989</c:v>
                </c:pt>
                <c:pt idx="5">
                  <c:v>#N/A</c:v>
                </c:pt>
                <c:pt idx="6">
                  <c:v>#N/A</c:v>
                </c:pt>
              </c:numCache>
            </c:numRef>
          </c:xVal>
          <c:yVal>
            <c:numRef>
              <c:f>Méthode!$Y$16:$Y$22</c:f>
              <c:numCache>
                <c:formatCode>0.0000</c:formatCode>
                <c:ptCount val="7"/>
                <c:pt idx="0">
                  <c:v>#N/A</c:v>
                </c:pt>
                <c:pt idx="1">
                  <c:v>#N/A</c:v>
                </c:pt>
                <c:pt idx="2">
                  <c:v>-1.0150119767485615</c:v>
                </c:pt>
                <c:pt idx="3">
                  <c:v>-0.4731226205116803</c:v>
                </c:pt>
                <c:pt idx="4">
                  <c:v>0.5121458244318009</c:v>
                </c:pt>
                <c:pt idx="5">
                  <c:v>#N/A</c:v>
                </c:pt>
                <c:pt idx="6">
                  <c:v>#N/A</c:v>
                </c:pt>
              </c:numCache>
            </c:numRef>
          </c:yVal>
          <c:smooth val="0"/>
        </c:ser>
        <c:dLbls>
          <c:showLegendKey val="0"/>
          <c:showVal val="0"/>
          <c:showCatName val="0"/>
          <c:showSerName val="0"/>
          <c:showPercent val="0"/>
          <c:showBubbleSize val="0"/>
        </c:dLbls>
        <c:axId val="294448128"/>
        <c:axId val="294450304"/>
      </c:scatterChart>
      <c:valAx>
        <c:axId val="294448128"/>
        <c:scaling>
          <c:orientation val="minMax"/>
        </c:scaling>
        <c:delete val="0"/>
        <c:axPos val="b"/>
        <c:title>
          <c:tx>
            <c:rich>
              <a:bodyPr/>
              <a:lstStyle/>
              <a:p>
                <a:pPr>
                  <a:defRPr/>
                </a:pPr>
                <a:r>
                  <a:rPr lang="en-ZA" i="1"/>
                  <a:t>g</a:t>
                </a:r>
                <a:r>
                  <a:rPr lang="en-ZA"/>
                  <a:t>()</a:t>
                </a:r>
              </a:p>
            </c:rich>
          </c:tx>
          <c:layout/>
          <c:overlay val="0"/>
        </c:title>
        <c:numFmt formatCode="0" sourceLinked="0"/>
        <c:majorTickMark val="out"/>
        <c:minorTickMark val="none"/>
        <c:tickLblPos val="nextTo"/>
        <c:crossAx val="294450304"/>
        <c:crosses val="autoZero"/>
        <c:crossBetween val="midCat"/>
        <c:majorUnit val="1"/>
      </c:valAx>
      <c:valAx>
        <c:axId val="294450304"/>
        <c:scaling>
          <c:orientation val="minMax"/>
        </c:scaling>
        <c:delete val="0"/>
        <c:axPos val="l"/>
        <c:title>
          <c:tx>
            <c:rich>
              <a:bodyPr rot="-5400000" vert="horz"/>
              <a:lstStyle/>
              <a:p>
                <a:pPr>
                  <a:defRPr/>
                </a:pPr>
                <a:r>
                  <a:rPr lang="en-US" i="1"/>
                  <a:t>z</a:t>
                </a:r>
                <a:r>
                  <a:rPr lang="en-US"/>
                  <a:t>()-</a:t>
                </a:r>
                <a:r>
                  <a:rPr lang="en-US" i="1"/>
                  <a:t>e</a:t>
                </a:r>
                <a:r>
                  <a:rPr lang="en-US"/>
                  <a:t>()</a:t>
                </a:r>
              </a:p>
            </c:rich>
          </c:tx>
          <c:layout/>
          <c:overlay val="0"/>
        </c:title>
        <c:numFmt formatCode="0" sourceLinked="0"/>
        <c:majorTickMark val="out"/>
        <c:minorTickMark val="none"/>
        <c:tickLblPos val="nextTo"/>
        <c:crossAx val="294448128"/>
        <c:crosses val="autoZero"/>
        <c:crossBetween val="midCat"/>
      </c:valAx>
      <c:spPr>
        <a:solidFill>
          <a:schemeClr val="bg1"/>
        </a:solidFill>
      </c:spPr>
    </c:plotArea>
    <c:legend>
      <c:legendPos val="b"/>
      <c:legendEntry>
        <c:idx val="2"/>
        <c:delete val="1"/>
      </c:legendEntry>
      <c:legendEntry>
        <c:idx val="3"/>
        <c:delete val="1"/>
      </c:legendEntry>
      <c:layout/>
      <c:overlay val="0"/>
    </c:legend>
    <c:plotVisOnly val="0"/>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All points</c:v>
          </c:tx>
          <c:spPr>
            <a:ln>
              <a:noFill/>
            </a:ln>
          </c:spPr>
          <c:marker>
            <c:spPr>
              <a:solidFill>
                <a:schemeClr val="tx1"/>
              </a:solidFill>
            </c:spPr>
          </c:marker>
          <c:trendline>
            <c:spPr>
              <a:ln w="28575">
                <a:solidFill>
                  <a:schemeClr val="tx1"/>
                </a:solidFill>
              </a:ln>
            </c:spPr>
            <c:trendlineType val="linear"/>
            <c:dispRSqr val="0"/>
            <c:dispEq val="1"/>
            <c:trendlineLbl>
              <c:layout>
                <c:manualLayout>
                  <c:x val="-6.4960625076904172E-2"/>
                  <c:y val="1.6972437408146621E-2"/>
                </c:manualLayout>
              </c:layout>
              <c:numFmt formatCode="General" sourceLinked="0"/>
              <c:txPr>
                <a:bodyPr/>
                <a:lstStyle/>
                <a:p>
                  <a:pPr>
                    <a:defRPr>
                      <a:solidFill>
                        <a:sysClr val="windowText" lastClr="000000"/>
                      </a:solidFill>
                    </a:defRPr>
                  </a:pPr>
                  <a:endParaRPr lang="en-US"/>
                </a:p>
              </c:txPr>
            </c:trendlineLbl>
          </c:trendline>
          <c:xVal>
            <c:numRef>
              <c:f>Méthode!$Z$4:$Z$23</c:f>
              <c:numCache>
                <c:formatCode>0.0000</c:formatCode>
                <c:ptCount val="20"/>
                <c:pt idx="0">
                  <c:v>#N/A</c:v>
                </c:pt>
                <c:pt idx="1">
                  <c:v>#N/A</c:v>
                </c:pt>
                <c:pt idx="2">
                  <c:v>-0.74260265424673</c:v>
                </c:pt>
                <c:pt idx="3">
                  <c:v>-3.6423874753142363E-2</c:v>
                </c:pt>
                <c:pt idx="4">
                  <c:v>0.84054780591080702</c:v>
                </c:pt>
                <c:pt idx="5">
                  <c:v>2.179944634001882</c:v>
                </c:pt>
                <c:pt idx="6">
                  <c:v>#N/A</c:v>
                </c:pt>
                <c:pt idx="7">
                  <c:v>#N/A</c:v>
                </c:pt>
                <c:pt idx="12">
                  <c:v>#N/A</c:v>
                </c:pt>
                <c:pt idx="13">
                  <c:v>#N/A</c:v>
                </c:pt>
                <c:pt idx="14">
                  <c:v>-1.0158866417223078</c:v>
                </c:pt>
                <c:pt idx="15">
                  <c:v>-0.33492430178104132</c:v>
                </c:pt>
                <c:pt idx="16">
                  <c:v>0.44064864091055989</c:v>
                </c:pt>
                <c:pt idx="17">
                  <c:v>#N/A</c:v>
                </c:pt>
                <c:pt idx="18">
                  <c:v>#N/A</c:v>
                </c:pt>
                <c:pt idx="19">
                  <c:v>#N/A</c:v>
                </c:pt>
              </c:numCache>
            </c:numRef>
          </c:xVal>
          <c:yVal>
            <c:numRef>
              <c:f>Méthode!$Y$4:$Y$23</c:f>
              <c:numCache>
                <c:formatCode>0.0000</c:formatCode>
                <c:ptCount val="20"/>
                <c:pt idx="0">
                  <c:v>#N/A</c:v>
                </c:pt>
                <c:pt idx="1">
                  <c:v>#N/A</c:v>
                </c:pt>
                <c:pt idx="2">
                  <c:v>-0.78137251007024244</c:v>
                </c:pt>
                <c:pt idx="3">
                  <c:v>-6.0044802722946544E-2</c:v>
                </c:pt>
                <c:pt idx="4">
                  <c:v>0.81719194539610729</c:v>
                </c:pt>
                <c:pt idx="5">
                  <c:v>2.1368189374912943</c:v>
                </c:pt>
                <c:pt idx="6">
                  <c:v>#N/A</c:v>
                </c:pt>
                <c:pt idx="7">
                  <c:v>#N/A</c:v>
                </c:pt>
                <c:pt idx="12">
                  <c:v>#N/A</c:v>
                </c:pt>
                <c:pt idx="13">
                  <c:v>#N/A</c:v>
                </c:pt>
                <c:pt idx="14">
                  <c:v>-1.0150119767485615</c:v>
                </c:pt>
                <c:pt idx="15">
                  <c:v>-0.4731226205116803</c:v>
                </c:pt>
                <c:pt idx="16">
                  <c:v>0.5121458244318009</c:v>
                </c:pt>
                <c:pt idx="17">
                  <c:v>#N/A</c:v>
                </c:pt>
                <c:pt idx="18">
                  <c:v>#N/A</c:v>
                </c:pt>
                <c:pt idx="19">
                  <c:v>#N/A</c:v>
                </c:pt>
              </c:numCache>
            </c:numRef>
          </c:yVal>
          <c:smooth val="0"/>
        </c:ser>
        <c:dLbls>
          <c:showLegendKey val="0"/>
          <c:showVal val="0"/>
          <c:showCatName val="0"/>
          <c:showSerName val="0"/>
          <c:showPercent val="0"/>
          <c:showBubbleSize val="0"/>
        </c:dLbls>
        <c:axId val="294484608"/>
        <c:axId val="294494976"/>
      </c:scatterChart>
      <c:valAx>
        <c:axId val="294484608"/>
        <c:scaling>
          <c:orientation val="minMax"/>
        </c:scaling>
        <c:delete val="0"/>
        <c:axPos val="b"/>
        <c:title>
          <c:tx>
            <c:rich>
              <a:bodyPr/>
              <a:lstStyle/>
              <a:p>
                <a:pPr>
                  <a:defRPr/>
                </a:pPr>
                <a:r>
                  <a:rPr lang="en-ZA" i="1"/>
                  <a:t>g</a:t>
                </a:r>
                <a:r>
                  <a:rPr lang="en-ZA"/>
                  <a:t>()</a:t>
                </a:r>
              </a:p>
            </c:rich>
          </c:tx>
          <c:layout/>
          <c:overlay val="0"/>
        </c:title>
        <c:numFmt formatCode="0" sourceLinked="0"/>
        <c:majorTickMark val="out"/>
        <c:minorTickMark val="none"/>
        <c:tickLblPos val="nextTo"/>
        <c:crossAx val="294494976"/>
        <c:crosses val="autoZero"/>
        <c:crossBetween val="midCat"/>
        <c:majorUnit val="1"/>
      </c:valAx>
      <c:valAx>
        <c:axId val="294494976"/>
        <c:scaling>
          <c:orientation val="minMax"/>
        </c:scaling>
        <c:delete val="0"/>
        <c:axPos val="l"/>
        <c:title>
          <c:tx>
            <c:rich>
              <a:bodyPr rot="-5400000" vert="horz"/>
              <a:lstStyle/>
              <a:p>
                <a:pPr>
                  <a:defRPr/>
                </a:pPr>
                <a:r>
                  <a:rPr lang="en-US" i="1"/>
                  <a:t>z</a:t>
                </a:r>
                <a:r>
                  <a:rPr lang="en-US"/>
                  <a:t>()-</a:t>
                </a:r>
                <a:r>
                  <a:rPr lang="en-US" i="1"/>
                  <a:t>e</a:t>
                </a:r>
                <a:r>
                  <a:rPr lang="en-US"/>
                  <a:t>()</a:t>
                </a:r>
              </a:p>
            </c:rich>
          </c:tx>
          <c:layout/>
          <c:overlay val="0"/>
        </c:title>
        <c:numFmt formatCode="0" sourceLinked="0"/>
        <c:majorTickMark val="out"/>
        <c:minorTickMark val="none"/>
        <c:tickLblPos val="nextTo"/>
        <c:crossAx val="294484608"/>
        <c:crosses val="autoZero"/>
        <c:crossBetween val="midCat"/>
      </c:valAx>
      <c:spPr>
        <a:solidFill>
          <a:schemeClr val="bg1"/>
        </a:solidFill>
      </c:spPr>
    </c:plotArea>
    <c:legend>
      <c:legendPos val="b"/>
      <c:legendEntry>
        <c:idx val="1"/>
        <c:delete val="1"/>
      </c:legendEntry>
      <c:layout/>
      <c:overlay val="0"/>
    </c:legend>
    <c:plotVisOnly val="0"/>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078" l="0.70000000000000062" r="0.70000000000000062" t="0.75000000000000078"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9525</xdr:colOff>
      <xdr:row>16</xdr:row>
      <xdr:rowOff>19050</xdr:rowOff>
    </xdr:from>
    <xdr:to>
      <xdr:col>11</xdr:col>
      <xdr:colOff>446475</xdr:colOff>
      <xdr:row>40</xdr:row>
      <xdr:rowOff>157128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156881</xdr:rowOff>
    </xdr:from>
    <xdr:to>
      <xdr:col>17</xdr:col>
      <xdr:colOff>70518</xdr:colOff>
      <xdr:row>38</xdr:row>
      <xdr:rowOff>48952</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39</xdr:row>
      <xdr:rowOff>156881</xdr:rowOff>
    </xdr:from>
    <xdr:to>
      <xdr:col>17</xdr:col>
      <xdr:colOff>70518</xdr:colOff>
      <xdr:row>76</xdr:row>
      <xdr:rowOff>144634</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78</xdr:row>
      <xdr:rowOff>156881</xdr:rowOff>
    </xdr:from>
    <xdr:to>
      <xdr:col>17</xdr:col>
      <xdr:colOff>70518</xdr:colOff>
      <xdr:row>116</xdr:row>
      <xdr:rowOff>48952</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emp\garbag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emp\Gompertz_C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aw Data"/>
      <sheetName val="El-Badry correction"/>
      <sheetName val="El-Badry (2)"/>
      <sheetName val="Adj. CEB 1, BLYR 1 (2)"/>
      <sheetName val="GOMP (2)"/>
      <sheetName val="Summary ASFRs &amp; TFRs (2)"/>
      <sheetName val="Deadkids correction to CEB"/>
      <sheetName val="Manipulations"/>
      <sheetName val="Adj. CEB 1, BLYR 1"/>
      <sheetName val="Summary ASFRs &amp; TFRs"/>
      <sheetName val="GOMP"/>
      <sheetName val="COMPARE"/>
    </sheetNames>
    <sheetDataSet>
      <sheetData sheetId="0"/>
      <sheetData sheetId="1"/>
      <sheetData sheetId="2"/>
      <sheetData sheetId="3"/>
      <sheetData sheetId="4"/>
      <sheetData sheetId="5"/>
      <sheetData sheetId="6"/>
      <sheetData sheetId="7">
        <row r="4">
          <cell r="V4">
            <v>0</v>
          </cell>
        </row>
        <row r="5">
          <cell r="V5">
            <v>2.828820313291569E-3</v>
          </cell>
        </row>
        <row r="6">
          <cell r="V6">
            <v>1.7220218111561159E-2</v>
          </cell>
        </row>
        <row r="7">
          <cell r="V7">
            <v>3.7969882467608018E-2</v>
          </cell>
        </row>
        <row r="8">
          <cell r="V8">
            <v>6.5031650686778519E-2</v>
          </cell>
        </row>
        <row r="9">
          <cell r="V9">
            <v>9.8023575185855361E-2</v>
          </cell>
        </row>
        <row r="10">
          <cell r="V10">
            <v>0.13739063721012457</v>
          </cell>
        </row>
        <row r="11">
          <cell r="V11">
            <v>0.18277562370487033</v>
          </cell>
        </row>
        <row r="26">
          <cell r="AA26">
            <v>36</v>
          </cell>
          <cell r="AB26">
            <v>0.23556002000000001</v>
          </cell>
          <cell r="AC26">
            <v>223</v>
          </cell>
        </row>
        <row r="27">
          <cell r="AA27">
            <v>37</v>
          </cell>
          <cell r="AB27">
            <v>0.35120604999999999</v>
          </cell>
          <cell r="AC27">
            <v>222</v>
          </cell>
        </row>
        <row r="28">
          <cell r="AA28">
            <v>38</v>
          </cell>
          <cell r="AB28">
            <v>0.25579874000000002</v>
          </cell>
          <cell r="AC28">
            <v>226</v>
          </cell>
        </row>
        <row r="29">
          <cell r="AA29">
            <v>39</v>
          </cell>
          <cell r="AB29">
            <v>0.36016730000000002</v>
          </cell>
          <cell r="AC29">
            <v>252</v>
          </cell>
        </row>
        <row r="30">
          <cell r="AA30">
            <v>40</v>
          </cell>
          <cell r="AB30">
            <v>0.39299674000000001</v>
          </cell>
          <cell r="AC30">
            <v>222</v>
          </cell>
        </row>
        <row r="31">
          <cell r="AA31">
            <v>41</v>
          </cell>
          <cell r="AB31">
            <v>0.44260072</v>
          </cell>
          <cell r="AC31">
            <v>172</v>
          </cell>
        </row>
        <row r="32">
          <cell r="AA32">
            <v>42</v>
          </cell>
          <cell r="AB32">
            <v>0.48064695000000002</v>
          </cell>
          <cell r="AC32">
            <v>195</v>
          </cell>
        </row>
        <row r="33">
          <cell r="AA33">
            <v>43</v>
          </cell>
          <cell r="AB33">
            <v>0.54062270999999995</v>
          </cell>
          <cell r="AC33">
            <v>160</v>
          </cell>
        </row>
        <row r="34">
          <cell r="AA34">
            <v>44</v>
          </cell>
          <cell r="AB34">
            <v>0.32306489999999999</v>
          </cell>
          <cell r="AC34">
            <v>162</v>
          </cell>
        </row>
        <row r="35">
          <cell r="AA35">
            <v>45</v>
          </cell>
          <cell r="AB35">
            <v>0.46572206999999999</v>
          </cell>
          <cell r="AC35">
            <v>176</v>
          </cell>
        </row>
        <row r="36">
          <cell r="AA36">
            <v>46</v>
          </cell>
          <cell r="AB36">
            <v>0.63649986000000003</v>
          </cell>
          <cell r="AC36">
            <v>126</v>
          </cell>
        </row>
        <row r="37">
          <cell r="AA37">
            <v>47</v>
          </cell>
          <cell r="AB37">
            <v>0.51730050000000005</v>
          </cell>
          <cell r="AC37">
            <v>151</v>
          </cell>
        </row>
        <row r="38">
          <cell r="AA38">
            <v>48</v>
          </cell>
          <cell r="AB38">
            <v>0.75751767000000003</v>
          </cell>
          <cell r="AC38">
            <v>122</v>
          </cell>
        </row>
        <row r="39">
          <cell r="AA39">
            <v>49</v>
          </cell>
          <cell r="AB39">
            <v>0.54258373999999998</v>
          </cell>
          <cell r="AC39">
            <v>93</v>
          </cell>
        </row>
      </sheetData>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MP"/>
      <sheetName val="COMPARE"/>
      <sheetName val="ADJUST"/>
      <sheetName val="Feeney adj. TFR"/>
    </sheetNames>
    <sheetDataSet>
      <sheetData sheetId="0">
        <row r="3">
          <cell r="V3" t="str">
            <v xml:space="preserve"> </v>
          </cell>
          <cell r="W3">
            <v>-2.4021090835736705</v>
          </cell>
          <cell r="X3" t="e">
            <v>#N/A</v>
          </cell>
          <cell r="Y3">
            <v>-2.4986293679400342</v>
          </cell>
        </row>
        <row r="4">
          <cell r="V4" t="str">
            <v xml:space="preserve">  F20</v>
          </cell>
          <cell r="W4">
            <v>-1.4501268260865627</v>
          </cell>
          <cell r="X4">
            <v>-1.507615229605147</v>
          </cell>
          <cell r="Y4">
            <v>-1.5444845080549436</v>
          </cell>
        </row>
        <row r="5">
          <cell r="V5" t="str">
            <v xml:space="preserve">  F25</v>
          </cell>
          <cell r="W5">
            <v>-0.74298121534953399</v>
          </cell>
          <cell r="X5">
            <v>-0.87023508247751102</v>
          </cell>
          <cell r="Y5">
            <v>-0.83573248629347074</v>
          </cell>
        </row>
        <row r="6">
          <cell r="V6" t="str">
            <v xml:space="preserve">  F30</v>
          </cell>
          <cell r="W6">
            <v>-3.8167221418934326E-2</v>
          </cell>
          <cell r="X6">
            <v>-0.16344409305232799</v>
          </cell>
          <cell r="Y6">
            <v>-0.12931737803388188</v>
          </cell>
        </row>
        <row r="7">
          <cell r="V7" t="str">
            <v xml:space="preserve">  F35</v>
          </cell>
          <cell r="W7">
            <v>0.83562685790156843</v>
          </cell>
          <cell r="X7">
            <v>0.77821183247006775</v>
          </cell>
          <cell r="Y7">
            <v>0.74646168488943454</v>
          </cell>
        </row>
        <row r="8">
          <cell r="V8" t="str">
            <v xml:space="preserve"> </v>
          </cell>
          <cell r="W8">
            <v>2.1649127615274719</v>
          </cell>
          <cell r="X8" t="e">
            <v>#N/A</v>
          </cell>
          <cell r="Y8">
            <v>2.0787673053852451</v>
          </cell>
        </row>
        <row r="9">
          <cell r="V9" t="str">
            <v xml:space="preserve"> </v>
          </cell>
          <cell r="W9">
            <v>4.4556107747849927</v>
          </cell>
          <cell r="X9" t="e">
            <v>#N/A</v>
          </cell>
          <cell r="Y9">
            <v>4.3746690595502917</v>
          </cell>
        </row>
        <row r="12">
          <cell r="V12" t="str">
            <v xml:space="preserve"> </v>
          </cell>
          <cell r="W12">
            <v>-2.6450203494436626</v>
          </cell>
          <cell r="X12" t="e">
            <v>#N/A</v>
          </cell>
          <cell r="Y12">
            <v>-2.4175489202337466</v>
          </cell>
        </row>
        <row r="13">
          <cell r="V13" t="str">
            <v xml:space="preserve">  P20</v>
          </cell>
          <cell r="W13">
            <v>-1.743792567240362</v>
          </cell>
          <cell r="X13">
            <v>-1.6111279326936219</v>
          </cell>
          <cell r="Y13">
            <v>-1.6445684703685801</v>
          </cell>
        </row>
        <row r="14">
          <cell r="V14" t="str">
            <v xml:space="preserve">  P25</v>
          </cell>
          <cell r="W14">
            <v>-1.0156961788944672</v>
          </cell>
          <cell r="X14">
            <v>-1.0220034711598767</v>
          </cell>
          <cell r="Y14">
            <v>-1.0200823139022515</v>
          </cell>
        </row>
        <row r="15">
          <cell r="V15" t="str">
            <v xml:space="preserve">  P30</v>
          </cell>
          <cell r="W15">
            <v>-0.33548833339317602</v>
          </cell>
          <cell r="X15">
            <v>-0.52730233551108063</v>
          </cell>
          <cell r="Y15">
            <v>-0.4366700214716176</v>
          </cell>
        </row>
        <row r="16">
          <cell r="V16" t="str">
            <v xml:space="preserve">  P35</v>
          </cell>
          <cell r="W16">
            <v>0.43909113247098358</v>
          </cell>
          <cell r="X16">
            <v>0.28679746912635884</v>
          </cell>
          <cell r="Y16">
            <v>0.2276845355042289</v>
          </cell>
        </row>
        <row r="17">
          <cell r="V17" t="str">
            <v xml:space="preserve"> </v>
          </cell>
          <cell r="W17">
            <v>1.5116837766574984</v>
          </cell>
          <cell r="X17" t="e">
            <v>#N/A</v>
          </cell>
          <cell r="Y17">
            <v>1.1476441295132076</v>
          </cell>
        </row>
        <row r="18">
          <cell r="V18" t="str">
            <v xml:space="preserve"> </v>
          </cell>
          <cell r="W18">
            <v>3.2103875700248783</v>
          </cell>
          <cell r="X18" t="e">
            <v>#N/A</v>
          </cell>
          <cell r="Y18">
            <v>2.6046174367215493</v>
          </cell>
        </row>
        <row r="19">
          <cell r="V19" t="str">
            <v xml:space="preserve"> </v>
          </cell>
          <cell r="W19">
            <v>6.0547232610015094</v>
          </cell>
          <cell r="Y19">
            <v>5.0441958933505049</v>
          </cell>
        </row>
        <row r="26">
          <cell r="Y26">
            <v>13.5</v>
          </cell>
          <cell r="Z26">
            <v>3.4942844948396688E-2</v>
          </cell>
          <cell r="AB26" t="str">
            <v>P</v>
          </cell>
          <cell r="AC26">
            <v>4.7745730018919647E-3</v>
          </cell>
          <cell r="AE26">
            <v>3.8700760144216373</v>
          </cell>
          <cell r="AF26" t="str">
            <v>shape:</v>
          </cell>
        </row>
        <row r="27">
          <cell r="Y27">
            <v>17.5</v>
          </cell>
          <cell r="Z27">
            <v>0.21084286445625874</v>
          </cell>
          <cell r="AB27" t="str">
            <v>P</v>
          </cell>
          <cell r="AC27">
            <v>0.21314937495649397</v>
          </cell>
        </row>
        <row r="28">
          <cell r="Y28">
            <v>22.5</v>
          </cell>
          <cell r="Z28">
            <v>0.83731857700906287</v>
          </cell>
          <cell r="AB28" t="str">
            <v>P</v>
          </cell>
          <cell r="AC28">
            <v>0.86191053201360268</v>
          </cell>
          <cell r="AE28">
            <v>3.8700760144216373</v>
          </cell>
          <cell r="AF28" t="str">
            <v>separate</v>
          </cell>
        </row>
        <row r="29">
          <cell r="Y29">
            <v>27.5</v>
          </cell>
          <cell r="Z29">
            <v>1.633351413218336</v>
          </cell>
          <cell r="AB29" t="str">
            <v>P</v>
          </cell>
          <cell r="AC29">
            <v>1.6565527948962453</v>
          </cell>
        </row>
        <row r="30">
          <cell r="Y30">
            <v>32.5</v>
          </cell>
          <cell r="Z30">
            <v>2.509503539898799</v>
          </cell>
          <cell r="AB30" t="str">
            <v>P</v>
          </cell>
          <cell r="AC30">
            <v>2.4327447877779402</v>
          </cell>
        </row>
        <row r="31">
          <cell r="Y31">
            <v>37.5</v>
          </cell>
          <cell r="Z31">
            <v>3.1888325557518113</v>
          </cell>
          <cell r="AB31" t="str">
            <v>P</v>
          </cell>
          <cell r="AC31">
            <v>3.1207792602208806</v>
          </cell>
        </row>
        <row r="32">
          <cell r="Y32">
            <v>42.5</v>
          </cell>
          <cell r="Z32">
            <v>3.7306010413349315</v>
          </cell>
          <cell r="AB32" t="str">
            <v>P</v>
          </cell>
          <cell r="AC32">
            <v>3.6391032315912129</v>
          </cell>
        </row>
        <row r="33">
          <cell r="Y33">
            <v>47.5</v>
          </cell>
          <cell r="Z33">
            <v>4.0716709951667305</v>
          </cell>
          <cell r="AB33" t="str">
            <v>P</v>
          </cell>
          <cell r="AC33">
            <v>3.8454467289171261</v>
          </cell>
        </row>
        <row r="35">
          <cell r="Y35">
            <v>14.5</v>
          </cell>
          <cell r="Z35">
            <v>5.8586610577897949E-3</v>
          </cell>
          <cell r="AB35" t="str">
            <v>F</v>
          </cell>
          <cell r="AC35">
            <v>1.6253744519433818E-3</v>
          </cell>
          <cell r="AE35">
            <v>2.8700760144216373</v>
          </cell>
          <cell r="AF35" t="str">
            <v>level:</v>
          </cell>
        </row>
        <row r="36">
          <cell r="Y36">
            <v>19.5</v>
          </cell>
          <cell r="Z36">
            <v>0.1626223251164173</v>
          </cell>
          <cell r="AB36" t="str">
            <v>F</v>
          </cell>
          <cell r="AC36">
            <v>0.15930721495654426</v>
          </cell>
        </row>
        <row r="37">
          <cell r="Y37">
            <v>24.5</v>
          </cell>
          <cell r="Z37">
            <v>0.53281715315856693</v>
          </cell>
          <cell r="AB37" t="str">
            <v>F</v>
          </cell>
          <cell r="AC37">
            <v>0.54574423789689863</v>
          </cell>
          <cell r="AE37">
            <v>2.8700760144216373</v>
          </cell>
          <cell r="AF37" t="str">
            <v>F 15 to 35</v>
          </cell>
        </row>
        <row r="38">
          <cell r="Y38">
            <v>29.5</v>
          </cell>
          <cell r="Z38">
            <v>0.94973188784006068</v>
          </cell>
          <cell r="AB38" t="str">
            <v>F</v>
          </cell>
          <cell r="AC38">
            <v>0.95388967737444674</v>
          </cell>
        </row>
        <row r="39">
          <cell r="Y39">
            <v>34.5</v>
          </cell>
          <cell r="Z39">
            <v>1.3100528095079462</v>
          </cell>
          <cell r="AB39" t="str">
            <v>F</v>
          </cell>
          <cell r="AC39">
            <v>1.3016641393600896</v>
          </cell>
        </row>
        <row r="40">
          <cell r="Y40">
            <v>39.5</v>
          </cell>
          <cell r="Z40">
            <v>1.5599895984919026</v>
          </cell>
          <cell r="AB40" t="str">
            <v>F</v>
          </cell>
          <cell r="AC40">
            <v>1.5587554791311002</v>
          </cell>
        </row>
        <row r="41">
          <cell r="Y41">
            <v>44.5</v>
          </cell>
          <cell r="Z41">
            <v>1.7054253960153094</v>
          </cell>
          <cell r="AB41" t="str">
            <v>F</v>
          </cell>
          <cell r="AC41">
            <v>1.688054517008271</v>
          </cell>
        </row>
        <row r="42">
          <cell r="Y42">
            <v>49.5</v>
          </cell>
          <cell r="Z42">
            <v>1.7816517240609606</v>
          </cell>
          <cell r="AB42" t="str">
            <v>F</v>
          </cell>
          <cell r="AC42">
            <v>1.7084519866900585</v>
          </cell>
        </row>
        <row r="44">
          <cell r="Y44">
            <v>13.504003814440011</v>
          </cell>
          <cell r="AA44" t="str">
            <v xml:space="preserve"> </v>
          </cell>
        </row>
        <row r="45">
          <cell r="Y45">
            <v>14.5</v>
          </cell>
          <cell r="AA45" t="str">
            <v xml:space="preserve"> </v>
          </cell>
        </row>
        <row r="46">
          <cell r="Y46">
            <v>17.94764765779551</v>
          </cell>
          <cell r="AA46" t="str">
            <v xml:space="preserve"> </v>
          </cell>
        </row>
        <row r="47">
          <cell r="Y47">
            <v>19.5</v>
          </cell>
          <cell r="AA47" t="str">
            <v xml:space="preserve"> </v>
          </cell>
        </row>
        <row r="48">
          <cell r="Y48">
            <v>22.410865210263967</v>
          </cell>
          <cell r="AA48" t="str">
            <v xml:space="preserve"> </v>
          </cell>
        </row>
        <row r="49">
          <cell r="Y49">
            <v>24.5</v>
          </cell>
          <cell r="AA49" t="str">
            <v xml:space="preserve"> </v>
          </cell>
          <cell r="AE49">
            <v>2.3700760144216373</v>
          </cell>
          <cell r="AF49" t="str">
            <v>P 15 to 35</v>
          </cell>
        </row>
        <row r="50">
          <cell r="Y50">
            <v>27.445027935971265</v>
          </cell>
          <cell r="AA50" t="str">
            <v xml:space="preserve"> </v>
          </cell>
        </row>
        <row r="51">
          <cell r="Y51">
            <v>29.5</v>
          </cell>
          <cell r="AA51" t="str">
            <v xml:space="preserve"> </v>
          </cell>
        </row>
        <row r="52">
          <cell r="Y52">
            <v>32.517785477812403</v>
          </cell>
          <cell r="AA52" t="str">
            <v xml:space="preserve"> </v>
          </cell>
        </row>
        <row r="53">
          <cell r="Y53">
            <v>34.5</v>
          </cell>
          <cell r="AA53" t="str">
            <v xml:space="preserve"> </v>
          </cell>
        </row>
        <row r="54">
          <cell r="Y54">
            <v>37.544235773557418</v>
          </cell>
          <cell r="AA54" t="str">
            <v xml:space="preserve"> </v>
          </cell>
        </row>
        <row r="55">
          <cell r="Y55">
            <v>39.5</v>
          </cell>
          <cell r="AA55" t="str">
            <v xml:space="preserve"> </v>
          </cell>
        </row>
        <row r="56">
          <cell r="Y56">
            <v>42.536611047768147</v>
          </cell>
          <cell r="AA56" t="str">
            <v xml:space="preserve"> </v>
          </cell>
        </row>
        <row r="57">
          <cell r="Y57">
            <v>44.5</v>
          </cell>
          <cell r="AA57" t="str">
            <v xml:space="preserve"> </v>
          </cell>
        </row>
        <row r="58">
          <cell r="Y58">
            <v>47.242548778134008</v>
          </cell>
          <cell r="AA58" t="str">
            <v xml:space="preserve"> </v>
          </cell>
        </row>
        <row r="59">
          <cell r="Y59">
            <v>49.5</v>
          </cell>
          <cell r="AA59" t="str">
            <v xml:space="preserve"> </v>
          </cell>
        </row>
        <row r="60">
          <cell r="Y60">
            <v>51.500000000000007</v>
          </cell>
          <cell r="AA60" t="str">
            <v xml:space="preserve"> </v>
          </cell>
        </row>
      </sheetData>
      <sheetData sheetId="1" refreshError="1"/>
      <sheetData sheetId="2" refreshError="1"/>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demographicestimation.iussp.org/fr/content/mod&#232;les-relationnels-synth&#233;tiques-de-gompertz" TargetMode="External"/><Relationship Id="rId1" Type="http://schemas.openxmlformats.org/officeDocument/2006/relationships/hyperlink" Target="http://demographicestimation.iussp.org/content/synthetic-relational-gompertz-model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abSelected="1" workbookViewId="0">
      <selection activeCell="A4" sqref="A4:B4"/>
    </sheetView>
  </sheetViews>
  <sheetFormatPr defaultColWidth="9.140625" defaultRowHeight="15" x14ac:dyDescent="0.2"/>
  <cols>
    <col min="1" max="1" width="6.7109375" style="47" customWidth="1"/>
    <col min="2" max="2" width="98" style="44" customWidth="1"/>
    <col min="3" max="3" width="9.140625" style="47"/>
    <col min="4" max="4" width="31.28515625" style="48" customWidth="1"/>
    <col min="5" max="5" width="30.140625" style="49" customWidth="1"/>
    <col min="6" max="6" width="9.140625" style="47" customWidth="1"/>
    <col min="7" max="16384" width="9.140625" style="47"/>
  </cols>
  <sheetData>
    <row r="1" spans="1:5" s="44" customFormat="1" ht="29.25" customHeight="1" x14ac:dyDescent="0.25">
      <c r="A1" s="114" t="s">
        <v>69</v>
      </c>
      <c r="B1" s="115"/>
      <c r="D1" s="45"/>
      <c r="E1" s="46"/>
    </row>
    <row r="3" spans="1:5" x14ac:dyDescent="0.2">
      <c r="A3" s="116" t="s">
        <v>70</v>
      </c>
      <c r="B3" s="116"/>
    </row>
    <row r="4" spans="1:5" x14ac:dyDescent="0.2">
      <c r="A4" s="117" t="s">
        <v>136</v>
      </c>
      <c r="B4" s="118"/>
      <c r="C4" s="1"/>
    </row>
    <row r="6" spans="1:5" ht="69.75" customHeight="1" x14ac:dyDescent="0.2">
      <c r="A6" s="119" t="s">
        <v>71</v>
      </c>
      <c r="B6" s="119"/>
    </row>
    <row r="7" spans="1:5" x14ac:dyDescent="0.2">
      <c r="A7" s="48"/>
    </row>
    <row r="8" spans="1:5" ht="15" customHeight="1" thickBot="1" x14ac:dyDescent="0.3">
      <c r="A8" s="50" t="s">
        <v>72</v>
      </c>
    </row>
    <row r="9" spans="1:5" ht="30" x14ac:dyDescent="0.25">
      <c r="A9" s="51">
        <v>1</v>
      </c>
      <c r="B9" s="52" t="s">
        <v>73</v>
      </c>
      <c r="C9" s="48"/>
      <c r="D9" s="53" t="s">
        <v>80</v>
      </c>
      <c r="E9" s="41" t="s">
        <v>67</v>
      </c>
    </row>
    <row r="10" spans="1:5" x14ac:dyDescent="0.2">
      <c r="A10" s="51"/>
      <c r="B10" s="45"/>
      <c r="C10" s="48"/>
      <c r="D10" s="54" t="s">
        <v>81</v>
      </c>
      <c r="E10" s="42">
        <v>1989</v>
      </c>
    </row>
    <row r="11" spans="1:5" ht="60" x14ac:dyDescent="0.2">
      <c r="A11" s="51">
        <v>2</v>
      </c>
      <c r="B11" s="100" t="s">
        <v>74</v>
      </c>
      <c r="C11" s="48"/>
      <c r="D11" s="55" t="s">
        <v>82</v>
      </c>
      <c r="E11" s="42" t="s">
        <v>127</v>
      </c>
    </row>
    <row r="12" spans="1:5" x14ac:dyDescent="0.2">
      <c r="A12" s="51"/>
      <c r="B12" s="45"/>
      <c r="C12" s="48"/>
      <c r="D12" s="54"/>
      <c r="E12" s="98"/>
    </row>
    <row r="13" spans="1:5" ht="30.75" thickBot="1" x14ac:dyDescent="0.25">
      <c r="A13" s="51">
        <v>3</v>
      </c>
      <c r="B13" s="52" t="s">
        <v>75</v>
      </c>
      <c r="C13" s="48"/>
      <c r="D13" s="99" t="s">
        <v>83</v>
      </c>
      <c r="E13" s="43">
        <v>10</v>
      </c>
    </row>
    <row r="14" spans="1:5" ht="45.75" x14ac:dyDescent="0.25">
      <c r="A14" s="51">
        <v>4</v>
      </c>
      <c r="B14" s="45" t="s">
        <v>130</v>
      </c>
      <c r="C14" s="48"/>
    </row>
    <row r="15" spans="1:5" ht="30" x14ac:dyDescent="0.2">
      <c r="A15" s="51"/>
      <c r="B15" s="45" t="s">
        <v>76</v>
      </c>
      <c r="C15" s="48"/>
    </row>
    <row r="16" spans="1:5" x14ac:dyDescent="0.2">
      <c r="A16" s="56"/>
      <c r="C16" s="48"/>
    </row>
    <row r="17" spans="1:3" ht="30.75" x14ac:dyDescent="0.25">
      <c r="A17" s="51">
        <v>5</v>
      </c>
      <c r="B17" s="45" t="s">
        <v>131</v>
      </c>
      <c r="C17" s="48"/>
    </row>
    <row r="18" spans="1:3" ht="30" x14ac:dyDescent="0.2">
      <c r="A18" s="51"/>
      <c r="B18" s="45" t="s">
        <v>77</v>
      </c>
      <c r="C18" s="48"/>
    </row>
    <row r="19" spans="1:3" x14ac:dyDescent="0.2">
      <c r="A19" s="51"/>
      <c r="B19" s="45"/>
      <c r="C19" s="48"/>
    </row>
    <row r="20" spans="1:3" ht="60.75" x14ac:dyDescent="0.2">
      <c r="A20" s="51">
        <v>6</v>
      </c>
      <c r="B20" s="45" t="s">
        <v>78</v>
      </c>
      <c r="C20" s="48"/>
    </row>
    <row r="21" spans="1:3" x14ac:dyDescent="0.2">
      <c r="A21" s="51"/>
      <c r="B21" s="45"/>
      <c r="C21" s="48"/>
    </row>
    <row r="22" spans="1:3" ht="76.5" x14ac:dyDescent="0.2">
      <c r="A22" s="51">
        <v>7</v>
      </c>
      <c r="B22" s="45" t="s">
        <v>79</v>
      </c>
      <c r="C22" s="48"/>
    </row>
    <row r="23" spans="1:3" x14ac:dyDescent="0.2">
      <c r="A23" s="51"/>
      <c r="B23" s="45"/>
      <c r="C23" s="48"/>
    </row>
    <row r="24" spans="1:3" ht="46.5" x14ac:dyDescent="0.25">
      <c r="A24" s="51">
        <v>8</v>
      </c>
      <c r="B24" s="45" t="s">
        <v>132</v>
      </c>
    </row>
    <row r="25" spans="1:3" x14ac:dyDescent="0.2">
      <c r="A25" s="56"/>
    </row>
    <row r="26" spans="1:3" ht="46.5" x14ac:dyDescent="0.25">
      <c r="A26" s="51">
        <v>9</v>
      </c>
      <c r="B26" s="45" t="s">
        <v>133</v>
      </c>
    </row>
  </sheetData>
  <sheetProtection sheet="1" objects="1" scenarios="1" selectLockedCells="1"/>
  <mergeCells count="4">
    <mergeCell ref="A1:B1"/>
    <mergeCell ref="A3:B3"/>
    <mergeCell ref="A4:B4"/>
    <mergeCell ref="A6:B6"/>
  </mergeCells>
  <dataValidations count="3">
    <dataValidation type="list" showInputMessage="1" showErrorMessage="1" error="Choose value from drop down list" sqref="E11">
      <formula1>age_definition</formula1>
    </dataValidation>
    <dataValidation type="list" allowBlank="1" showInputMessage="1" showErrorMessage="1" prompt="Select the intersurvey period; that is, the time between the two surveys." sqref="E13">
      <formula1>Intersurvey_period</formula1>
    </dataValidation>
    <dataValidation type="list" showDropDown="1" showInputMessage="1" showErrorMessage="1" sqref="A4:B4">
      <formula1>"http://demographicestimation.iussp.org/content/synthetic-relational-gompertz-models"</formula1>
    </dataValidation>
  </dataValidations>
  <hyperlinks>
    <hyperlink ref="A4" r:id="rId1" display="http://demographicestimation.iussp.org/content/synthetic-relational-gompertz-models"/>
    <hyperlink ref="A4:B4" r:id="rId2" display="http://demographicestimation.iussp.org/fr/content/modèles-relationnels-synthétiques-de-gompertz"/>
  </hyperlinks>
  <pageMargins left="0.7" right="0.7" top="0.75" bottom="0.75" header="0.3" footer="0.3"/>
  <pageSetup paperSize="9" orientation="portrait" horizontalDpi="200" verticalDpi="200" r:id="rId3"/>
  <extLst>
    <ext xmlns:x14="http://schemas.microsoft.com/office/spreadsheetml/2009/9/main" uri="{CCE6A557-97BC-4b89-ADB6-D9C93CAAB3DF}">
      <x14:dataValidations xmlns:xm="http://schemas.microsoft.com/office/excel/2006/main" count="1">
        <x14:dataValidation type="list" allowBlank="1" showInputMessage="1" showErrorMessage="1" prompt="Select the definition of the mother's age - age at birth (less common), or age at the survey (more common)">
          <x14:formula1>
            <xm:f>Méthode!$BM$3:$BM$4</xm:f>
          </x14:formula1>
          <xm:sqref>E11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N118"/>
  <sheetViews>
    <sheetView zoomScaleNormal="100" workbookViewId="0">
      <selection activeCell="C1" sqref="C1"/>
    </sheetView>
  </sheetViews>
  <sheetFormatPr defaultColWidth="9.140625" defaultRowHeight="15.75" x14ac:dyDescent="0.25"/>
  <cols>
    <col min="1" max="1" width="16" style="3" customWidth="1"/>
    <col min="2" max="2" width="11.28515625" style="3" customWidth="1"/>
    <col min="3" max="3" width="13.5703125" style="3" customWidth="1"/>
    <col min="4" max="4" width="11.85546875" style="3" customWidth="1"/>
    <col min="5" max="6" width="11.5703125" style="3" customWidth="1"/>
    <col min="7" max="7" width="9.7109375" style="3" customWidth="1"/>
    <col min="8" max="8" width="14.7109375" style="3" customWidth="1"/>
    <col min="9" max="9" width="11" style="3" customWidth="1"/>
    <col min="10" max="10" width="18.28515625" style="3" customWidth="1"/>
    <col min="11" max="11" width="10.42578125" style="3" bestFit="1" customWidth="1"/>
    <col min="12" max="12" width="7.28515625" style="3" bestFit="1" customWidth="1"/>
    <col min="13" max="13" width="10" style="3" customWidth="1"/>
    <col min="14" max="14" width="12.5703125" style="3" bestFit="1" customWidth="1"/>
    <col min="15" max="15" width="1.7109375" style="3" customWidth="1"/>
    <col min="16" max="16" width="15.28515625" style="3" bestFit="1" customWidth="1"/>
    <col min="17" max="17" width="8.140625" style="3" customWidth="1"/>
    <col min="18" max="18" width="8.42578125" style="3" customWidth="1"/>
    <col min="19" max="19" width="10.28515625" style="3" customWidth="1"/>
    <col min="20" max="20" width="7.140625" style="3" customWidth="1"/>
    <col min="21" max="21" width="6.5703125" style="3" customWidth="1"/>
    <col min="22" max="22" width="8" style="3" customWidth="1"/>
    <col min="23" max="23" width="7.140625" style="3" customWidth="1"/>
    <col min="24" max="24" width="1.7109375" style="3" customWidth="1"/>
    <col min="25" max="26" width="9.140625" style="3" customWidth="1"/>
    <col min="27" max="27" width="1.7109375" style="3" customWidth="1"/>
    <col min="28" max="29" width="9.140625" style="3" customWidth="1"/>
    <col min="30" max="30" width="9.140625" style="63" customWidth="1"/>
    <col min="31" max="31" width="3.7109375" style="3" customWidth="1"/>
    <col min="32" max="32" width="11.85546875" style="3" customWidth="1"/>
    <col min="33" max="33" width="10.140625" style="3" customWidth="1"/>
    <col min="34" max="34" width="9.7109375" style="3" customWidth="1"/>
    <col min="35" max="35" width="12.7109375" style="3" customWidth="1"/>
    <col min="36" max="36" width="8.7109375" style="3" customWidth="1"/>
    <col min="37" max="37" width="8.5703125" style="3" customWidth="1"/>
    <col min="38" max="39" width="9.140625" style="3" customWidth="1"/>
    <col min="40" max="40" width="3.7109375" style="3" customWidth="1"/>
    <col min="41" max="41" width="9.140625" style="24" customWidth="1"/>
    <col min="42" max="42" width="6.85546875" style="24" customWidth="1"/>
    <col min="43" max="43" width="7.5703125" style="24" customWidth="1"/>
    <col min="44" max="44" width="10" style="24" customWidth="1"/>
    <col min="45" max="46" width="7.140625" style="24" customWidth="1"/>
    <col min="47" max="48" width="7.5703125" style="24" customWidth="1"/>
    <col min="49" max="49" width="7.140625" style="24" customWidth="1"/>
    <col min="50" max="50" width="7.140625" style="3" customWidth="1"/>
    <col min="51" max="51" width="3.7109375" style="3" customWidth="1"/>
    <col min="52" max="52" width="9.140625" style="3"/>
    <col min="53" max="53" width="5" style="3" customWidth="1"/>
    <col min="54" max="55" width="9.140625" style="3" customWidth="1"/>
    <col min="56" max="56" width="1.42578125" style="3" customWidth="1"/>
    <col min="57" max="57" width="12.42578125" style="3" customWidth="1"/>
    <col min="58" max="58" width="9.140625" style="3" customWidth="1"/>
    <col min="59" max="59" width="1.5703125" style="3" customWidth="1"/>
    <col min="60" max="60" width="9.140625" style="64" customWidth="1"/>
    <col min="61" max="61" width="9.140625" style="3" customWidth="1"/>
    <col min="62" max="63" width="3.7109375" style="3" customWidth="1"/>
    <col min="64" max="64" width="9.140625" style="3"/>
    <col min="65" max="65" width="20.7109375" style="3" customWidth="1"/>
    <col min="66" max="16384" width="9.140625" style="3"/>
  </cols>
  <sheetData>
    <row r="1" spans="1:66" ht="18.75" customHeight="1" x14ac:dyDescent="0.3">
      <c r="A1" s="127" t="str">
        <f>Introduction!E9&amp;" "&amp;Introduction!E10&amp;"-"&amp;Introduction!E10+Introduction!E13</f>
        <v>Kenya 1989-1999</v>
      </c>
      <c r="B1" s="127"/>
      <c r="Q1" s="3" t="s">
        <v>92</v>
      </c>
      <c r="AF1" s="64" t="s">
        <v>96</v>
      </c>
      <c r="AO1" s="24" t="s">
        <v>116</v>
      </c>
      <c r="AZ1" s="15" t="s">
        <v>62</v>
      </c>
      <c r="BA1" s="15"/>
      <c r="BB1" s="123" t="s">
        <v>14</v>
      </c>
      <c r="BC1" s="123"/>
      <c r="BD1" s="15"/>
      <c r="BE1" s="123" t="s">
        <v>60</v>
      </c>
      <c r="BF1" s="123"/>
      <c r="BG1" s="15"/>
      <c r="BH1" s="123" t="s">
        <v>126</v>
      </c>
      <c r="BI1" s="123"/>
    </row>
    <row r="2" spans="1:66" ht="18.75" customHeight="1" thickBot="1" x14ac:dyDescent="0.35">
      <c r="O2" s="4"/>
      <c r="Q2" s="15" t="s">
        <v>20</v>
      </c>
      <c r="R2" s="15"/>
      <c r="S2" s="15"/>
      <c r="T2" s="15"/>
      <c r="U2" s="15"/>
      <c r="V2" s="15"/>
      <c r="W2" s="15"/>
      <c r="X2" s="15"/>
      <c r="Y2" s="123" t="s">
        <v>93</v>
      </c>
      <c r="Z2" s="123"/>
      <c r="AA2" s="15"/>
      <c r="AB2" s="123" t="s">
        <v>94</v>
      </c>
      <c r="AC2" s="123"/>
      <c r="AD2" s="40"/>
      <c r="AF2" s="21" t="s">
        <v>97</v>
      </c>
      <c r="AG2" s="21" t="s">
        <v>98</v>
      </c>
      <c r="AH2" s="22" t="s">
        <v>44</v>
      </c>
      <c r="AI2" s="22" t="s">
        <v>45</v>
      </c>
      <c r="AJ2" s="21"/>
      <c r="AK2" s="21" t="s">
        <v>48</v>
      </c>
      <c r="AO2" s="34" t="s">
        <v>118</v>
      </c>
      <c r="AP2" s="34"/>
      <c r="AQ2" s="121" t="s">
        <v>117</v>
      </c>
      <c r="AR2" s="121"/>
      <c r="AS2" s="121"/>
      <c r="AT2" s="121"/>
      <c r="AU2" s="121"/>
      <c r="AV2" s="121"/>
      <c r="AW2" s="121"/>
      <c r="AZ2" s="16"/>
      <c r="BA2" s="16" t="s">
        <v>61</v>
      </c>
      <c r="BB2" s="16" t="s">
        <v>125</v>
      </c>
      <c r="BC2" s="16"/>
      <c r="BD2" s="16"/>
      <c r="BE2" s="16" t="s">
        <v>59</v>
      </c>
      <c r="BF2" s="16"/>
      <c r="BG2" s="16"/>
      <c r="BH2" s="16" t="s">
        <v>59</v>
      </c>
      <c r="BI2" s="16"/>
    </row>
    <row r="3" spans="1:66" ht="18.75" customHeight="1" thickBot="1" x14ac:dyDescent="0.35">
      <c r="A3" s="13"/>
      <c r="B3" s="124" t="s">
        <v>84</v>
      </c>
      <c r="C3" s="125"/>
      <c r="D3" s="125"/>
      <c r="E3" s="126"/>
      <c r="F3" s="124" t="s">
        <v>85</v>
      </c>
      <c r="G3" s="125"/>
      <c r="H3" s="125"/>
      <c r="I3" s="126"/>
      <c r="J3" s="65" t="s">
        <v>88</v>
      </c>
      <c r="L3" s="4"/>
      <c r="M3" s="4"/>
      <c r="N3" s="4"/>
      <c r="O3" s="4"/>
      <c r="Q3" s="16" t="s">
        <v>39</v>
      </c>
      <c r="R3" s="16" t="s">
        <v>7</v>
      </c>
      <c r="S3" s="16" t="s">
        <v>8</v>
      </c>
      <c r="T3" s="16" t="s">
        <v>9</v>
      </c>
      <c r="U3" s="16" t="s">
        <v>10</v>
      </c>
      <c r="V3" s="16" t="s">
        <v>11</v>
      </c>
      <c r="W3" s="16" t="s">
        <v>12</v>
      </c>
      <c r="X3" s="16"/>
      <c r="Y3" s="16" t="s">
        <v>18</v>
      </c>
      <c r="Z3" s="16" t="s">
        <v>19</v>
      </c>
      <c r="AA3" s="16"/>
      <c r="AB3" s="16" t="s">
        <v>36</v>
      </c>
      <c r="AC3" s="16" t="s">
        <v>37</v>
      </c>
      <c r="AD3" s="16" t="s">
        <v>95</v>
      </c>
      <c r="AF3" s="14" t="s">
        <v>135</v>
      </c>
      <c r="AG3" s="5">
        <f>AVERAGE(AH3:AI3)</f>
        <v>0.95799490132455944</v>
      </c>
      <c r="AH3" s="5">
        <f>AU12</f>
        <v>0.95749948403306373</v>
      </c>
      <c r="AI3" s="5">
        <f>AV$35</f>
        <v>0.95849031861605505</v>
      </c>
      <c r="AJ3" s="5"/>
      <c r="AK3" s="5">
        <f>AI3</f>
        <v>0.95849031861605505</v>
      </c>
      <c r="AO3" s="33" t="s">
        <v>21</v>
      </c>
      <c r="AP3" s="33" t="s">
        <v>22</v>
      </c>
      <c r="AQ3" s="33" t="s">
        <v>14</v>
      </c>
      <c r="AR3" s="33" t="s">
        <v>49</v>
      </c>
      <c r="AS3" s="33" t="s">
        <v>50</v>
      </c>
      <c r="AT3" s="33" t="s">
        <v>51</v>
      </c>
      <c r="AU3" s="33" t="s">
        <v>52</v>
      </c>
      <c r="AV3" s="33" t="s">
        <v>10</v>
      </c>
      <c r="AW3" s="33" t="s">
        <v>12</v>
      </c>
      <c r="BA3" s="14">
        <v>10</v>
      </c>
      <c r="BB3" s="3">
        <v>-100000</v>
      </c>
      <c r="BH3" s="3"/>
      <c r="BM3" s="107" t="s">
        <v>127</v>
      </c>
      <c r="BN3" s="101">
        <f>MATCH(Introduction!E11,BM3:BM4,0)</f>
        <v>1</v>
      </c>
    </row>
    <row r="4" spans="1:66" ht="18.75" customHeight="1" thickBot="1" x14ac:dyDescent="0.35">
      <c r="A4" s="66" t="s">
        <v>57</v>
      </c>
      <c r="B4" s="67">
        <f>Introduction!E10</f>
        <v>1989</v>
      </c>
      <c r="C4" s="68">
        <f>B4+Introduction!E13</f>
        <v>1999</v>
      </c>
      <c r="D4" s="68" t="s">
        <v>68</v>
      </c>
      <c r="E4" s="69" t="s">
        <v>86</v>
      </c>
      <c r="F4" s="67">
        <f>B4</f>
        <v>1989</v>
      </c>
      <c r="G4" s="70">
        <f>C4</f>
        <v>1999</v>
      </c>
      <c r="H4" s="68" t="s">
        <v>87</v>
      </c>
      <c r="I4" s="69" t="s">
        <v>86</v>
      </c>
      <c r="J4" s="71" t="s">
        <v>89</v>
      </c>
      <c r="L4" s="4"/>
      <c r="M4" s="72" t="s">
        <v>42</v>
      </c>
      <c r="N4" s="73">
        <f>AK17</f>
        <v>-2.8624995969228382E-2</v>
      </c>
      <c r="O4" s="6"/>
      <c r="P4" s="3" t="str">
        <f>IF(ABS(N4)&gt;0.3,"caution!","ok")</f>
        <v>ok</v>
      </c>
      <c r="Q4" s="14" t="str">
        <f t="shared" ref="Q4:Q11" si="0">IF($BN$3=1,AO4,AO15)</f>
        <v>14 ½</v>
      </c>
      <c r="R4" s="5">
        <f>5*SUM(H5:H$5)</f>
        <v>0</v>
      </c>
      <c r="S4" s="5">
        <f t="shared" ref="S4:S10" si="1">R4/R5</f>
        <v>0</v>
      </c>
      <c r="T4" s="5" t="e">
        <f>IF(S4&lt;&gt;0,-LN(-LN(S4)),NA())</f>
        <v>#N/A</v>
      </c>
      <c r="U4" s="5">
        <f t="shared" ref="U4:U11" si="2">IF($BN$3=1,AV4,AV15)</f>
        <v>0.93641822539077313</v>
      </c>
      <c r="V4" s="5" t="e">
        <f>T4-U4</f>
        <v>#N/A</v>
      </c>
      <c r="W4" s="5">
        <f t="shared" ref="W4:W11" si="3">IF($BN$3=1,AW4,AW15)</f>
        <v>-2.4384841453180206</v>
      </c>
      <c r="Y4" s="5" t="e">
        <f t="shared" ref="Y4:Y10" si="4">IF(AND($I6=1,$I5=1),V4,NA())</f>
        <v>#N/A</v>
      </c>
      <c r="Z4" s="5" t="e">
        <f>IF(ISNA(Y4),NA(),W4)</f>
        <v>#N/A</v>
      </c>
      <c r="AB4" s="5">
        <f>IF(ISNA(Y4),0,Y4)</f>
        <v>0</v>
      </c>
      <c r="AC4" s="5">
        <f>IF(ISNA(Y4),0,Z4)</f>
        <v>0</v>
      </c>
      <c r="AD4" s="5">
        <f>IF(ISNA(Y4),0,(($AK$16+$AK$15*Z4)-Y4)^2)</f>
        <v>0</v>
      </c>
      <c r="AF4" s="14" t="s">
        <v>99</v>
      </c>
      <c r="AG4" s="5">
        <f>AVERAGE(AH4:AI4)</f>
        <v>0.95793801893571162</v>
      </c>
      <c r="AH4" s="5">
        <f>AU23</f>
        <v>0.95738571925536819</v>
      </c>
      <c r="AI4" s="5">
        <f>AV$35</f>
        <v>0.95849031861605505</v>
      </c>
      <c r="AJ4" s="5"/>
      <c r="AK4" s="5">
        <f>AI4</f>
        <v>0.95849031861605505</v>
      </c>
      <c r="AO4" s="35" t="s">
        <v>23</v>
      </c>
      <c r="AP4" s="26">
        <f>AP40</f>
        <v>1.2783714883985553E-3</v>
      </c>
      <c r="AQ4" s="26">
        <f>-LN(-LN(AP4))</f>
        <v>-1.8964449999999999</v>
      </c>
      <c r="AR4" s="26">
        <f>AP4/AP5</f>
        <v>1.1209905726891513E-2</v>
      </c>
      <c r="AS4" s="26">
        <f>-LN(-LN(AR4))</f>
        <v>-1.5020659199272475</v>
      </c>
      <c r="AT4" s="26">
        <f t="shared" ref="AT4:AT10" si="5">(EXP(AQ4)*AQ5-AQ4*EXP(AQ5))/(EXP(AQ4)-EXP(AQ5))</f>
        <v>-2.4384841453180206</v>
      </c>
      <c r="AU4" s="26"/>
      <c r="AV4" s="26">
        <f>AS4-AT4</f>
        <v>0.93641822539077313</v>
      </c>
      <c r="AW4" s="26">
        <f>AT4</f>
        <v>-2.4384841453180206</v>
      </c>
      <c r="BA4" s="14">
        <v>10.5</v>
      </c>
      <c r="BB4" s="3">
        <v>-50001.585455</v>
      </c>
      <c r="BH4" s="3"/>
      <c r="BM4" s="112" t="s">
        <v>128</v>
      </c>
      <c r="BN4" s="102"/>
    </row>
    <row r="5" spans="1:66" ht="18.75" customHeight="1" thickTop="1" x14ac:dyDescent="0.3">
      <c r="A5" s="74" t="s">
        <v>17</v>
      </c>
      <c r="B5" s="57"/>
      <c r="C5" s="58"/>
      <c r="D5" s="75"/>
      <c r="E5" s="59"/>
      <c r="F5" s="57"/>
      <c r="G5" s="58"/>
      <c r="H5" s="75"/>
      <c r="I5" s="59"/>
      <c r="J5" s="76">
        <f t="shared" ref="J5:J12" si="6">AK33</f>
        <v>2.8227575086787579E-3</v>
      </c>
      <c r="K5" s="77"/>
      <c r="L5" s="6"/>
      <c r="M5" s="78" t="s">
        <v>43</v>
      </c>
      <c r="N5" s="79">
        <f>AK15</f>
        <v>1.0042187851237538</v>
      </c>
      <c r="O5" s="6"/>
      <c r="P5" s="3" t="str">
        <f>IF(OR(N5&lt;0.8,N5&gt;1.25),"caution!","ok")</f>
        <v>ok</v>
      </c>
      <c r="Q5" s="14" t="str">
        <f t="shared" si="0"/>
        <v>19 ½</v>
      </c>
      <c r="R5" s="5">
        <f>5*SUM(H$5:H6)</f>
        <v>0.44661288957417711</v>
      </c>
      <c r="S5" s="5">
        <f t="shared" si="1"/>
        <v>0.28149616243497205</v>
      </c>
      <c r="T5" s="5">
        <f t="shared" ref="T5:T10" si="7">IF(S5&lt;&gt;0,-LN(-LN(S5)),NA())</f>
        <v>-0.23715411463510636</v>
      </c>
      <c r="U5" s="5">
        <f t="shared" si="2"/>
        <v>1.3311488086561782</v>
      </c>
      <c r="V5" s="5">
        <f t="shared" ref="V5:V11" si="8">T5-U5</f>
        <v>-1.5683029232912846</v>
      </c>
      <c r="W5" s="5">
        <f t="shared" si="3"/>
        <v>-1.4527111363647451</v>
      </c>
      <c r="Y5" s="5" t="e">
        <f t="shared" si="4"/>
        <v>#N/A</v>
      </c>
      <c r="Z5" s="5" t="e">
        <f t="shared" ref="Z5:Z11" si="9">IF(ISNA(Y5),NA(),W5)</f>
        <v>#N/A</v>
      </c>
      <c r="AB5" s="5">
        <f t="shared" ref="AB5:AB23" si="10">IF(ISNA(Y5),0,Y5)</f>
        <v>0</v>
      </c>
      <c r="AC5" s="5">
        <f t="shared" ref="AC5:AC11" si="11">IF(ISNA(Y5),0,Z5)</f>
        <v>0</v>
      </c>
      <c r="AD5" s="5">
        <f t="shared" ref="AD5:AD11" si="12">IF(ISNA(Y5),0,(($AK$16+$AK$15*Z5)-Y5)^2)</f>
        <v>0</v>
      </c>
      <c r="AO5" s="35" t="s">
        <v>24</v>
      </c>
      <c r="AP5" s="26">
        <f t="shared" ref="AP5:AP10" si="13">AP41</f>
        <v>0.1140394504239105</v>
      </c>
      <c r="AQ5" s="26">
        <f t="shared" ref="AQ5:AQ11" si="14">-LN(-LN(AP5))</f>
        <v>-0.77528500000000011</v>
      </c>
      <c r="AR5" s="26">
        <f t="shared" ref="AR5:AR11" si="15">AP5/AP6</f>
        <v>0.32327247099594575</v>
      </c>
      <c r="AS5" s="26">
        <f t="shared" ref="AS5:AS11" si="16">-LN(-LN(AR5))</f>
        <v>-0.12156232770856687</v>
      </c>
      <c r="AT5" s="26">
        <f t="shared" si="5"/>
        <v>-1.4527111363647451</v>
      </c>
      <c r="AU5" s="26">
        <f>((AQ5-AQ6)^2*EXP(AQ5+AQ6))/(EXP(AQ5)-EXP(AQ6))^2</f>
        <v>0.95626566528769807</v>
      </c>
      <c r="AV5" s="26">
        <f t="shared" ref="AV5:AV10" si="17">AS5-AT5</f>
        <v>1.3311488086561782</v>
      </c>
      <c r="AW5" s="26">
        <f t="shared" ref="AW5:AW11" si="18">AT5</f>
        <v>-1.4527111363647451</v>
      </c>
      <c r="BA5" s="14">
        <v>11</v>
      </c>
      <c r="BB5" s="3">
        <v>-3.1709100000000001</v>
      </c>
      <c r="BE5" s="3">
        <f>EXP(-EXP(-BB5))</f>
        <v>4.4784499589925825E-11</v>
      </c>
      <c r="BH5" s="3"/>
      <c r="BM5" s="113" t="s">
        <v>129</v>
      </c>
      <c r="BN5" s="101">
        <f>MATCH(Introduction!E13,BM6:BM7,0)</f>
        <v>2</v>
      </c>
    </row>
    <row r="6" spans="1:66" ht="18.75" customHeight="1" x14ac:dyDescent="0.3">
      <c r="A6" s="74" t="s">
        <v>0</v>
      </c>
      <c r="B6" s="57">
        <v>0.24160000000000001</v>
      </c>
      <c r="C6" s="58">
        <v>0.2848</v>
      </c>
      <c r="D6" s="80">
        <f>C6</f>
        <v>0.2848</v>
      </c>
      <c r="E6" s="59"/>
      <c r="F6" s="60">
        <v>6.7902195334538409E-2</v>
      </c>
      <c r="G6" s="61">
        <v>0.11074296049513244</v>
      </c>
      <c r="H6" s="81">
        <f>AVERAGE(F6:G6)</f>
        <v>8.9322577914835416E-2</v>
      </c>
      <c r="I6" s="59"/>
      <c r="J6" s="76">
        <f t="shared" si="6"/>
        <v>0.13914763087294832</v>
      </c>
      <c r="K6" s="77"/>
      <c r="L6" s="6"/>
      <c r="M6" s="78" t="s">
        <v>90</v>
      </c>
      <c r="N6" s="82">
        <f>AL52</f>
        <v>5.5710313695671969</v>
      </c>
      <c r="O6" s="6"/>
      <c r="Q6" s="14" t="str">
        <f t="shared" si="0"/>
        <v>24 ½</v>
      </c>
      <c r="R6" s="5">
        <f>5*SUM(H$5:H7)</f>
        <v>1.5865683059794762</v>
      </c>
      <c r="S6" s="5">
        <f t="shared" si="1"/>
        <v>0.58873777589817622</v>
      </c>
      <c r="T6" s="5">
        <f t="shared" si="7"/>
        <v>0.63530402971301103</v>
      </c>
      <c r="U6" s="5">
        <f t="shared" si="2"/>
        <v>1.4166765397832535</v>
      </c>
      <c r="V6" s="5">
        <f t="shared" si="8"/>
        <v>-0.78137251007024244</v>
      </c>
      <c r="W6" s="5">
        <f t="shared" si="3"/>
        <v>-0.74260265424673</v>
      </c>
      <c r="Y6" s="5">
        <f t="shared" si="4"/>
        <v>-0.78137251007024244</v>
      </c>
      <c r="Z6" s="5">
        <f t="shared" si="9"/>
        <v>-0.74260265424673</v>
      </c>
      <c r="AB6" s="5">
        <f t="shared" si="10"/>
        <v>-0.78137251007024244</v>
      </c>
      <c r="AC6" s="5">
        <f t="shared" si="11"/>
        <v>-0.74260265424673</v>
      </c>
      <c r="AD6" s="5">
        <f>IF(ISNA(Y6),0,(($AK$16+$AK$15*Z6)-Y6)^2)</f>
        <v>4.9287477694110529E-5</v>
      </c>
      <c r="AF6" s="21" t="s">
        <v>100</v>
      </c>
      <c r="AG6" s="21" t="s">
        <v>98</v>
      </c>
      <c r="AH6" s="22" t="s">
        <v>44</v>
      </c>
      <c r="AI6" s="22" t="s">
        <v>45</v>
      </c>
      <c r="AJ6" s="21"/>
      <c r="AK6" s="21"/>
      <c r="AO6" s="35" t="s">
        <v>25</v>
      </c>
      <c r="AP6" s="26">
        <f t="shared" si="13"/>
        <v>0.35276573372478942</v>
      </c>
      <c r="AQ6" s="26">
        <f t="shared" si="14"/>
        <v>-4.1095000000000055E-2</v>
      </c>
      <c r="AR6" s="26">
        <f t="shared" si="15"/>
        <v>0.60071889890621866</v>
      </c>
      <c r="AS6" s="26">
        <f t="shared" si="16"/>
        <v>0.67407388553652337</v>
      </c>
      <c r="AT6" s="26">
        <f t="shared" si="5"/>
        <v>-0.74260265424673</v>
      </c>
      <c r="AU6" s="26">
        <f>((AQ6-AQ7)^2*EXP(AQ6+AQ7))/(EXP(AQ6)-EXP(AQ7))^2</f>
        <v>0.96324552955885356</v>
      </c>
      <c r="AV6" s="26">
        <f t="shared" si="17"/>
        <v>1.4166765397832535</v>
      </c>
      <c r="AW6" s="26">
        <f t="shared" si="18"/>
        <v>-0.74260265424673</v>
      </c>
      <c r="BA6" s="14">
        <v>11.5</v>
      </c>
      <c r="BB6" s="3">
        <v>-2.9567300000000003</v>
      </c>
      <c r="BE6" s="3">
        <f t="shared" ref="BE6:BE69" si="19">EXP(-EXP(-BB6))</f>
        <v>4.4295384258252304E-9</v>
      </c>
      <c r="BH6" s="3"/>
      <c r="BM6" s="105">
        <v>5</v>
      </c>
      <c r="BN6" s="103"/>
    </row>
    <row r="7" spans="1:66" ht="18.75" customHeight="1" x14ac:dyDescent="0.3">
      <c r="A7" s="74" t="s">
        <v>1</v>
      </c>
      <c r="B7" s="57">
        <v>1.5246999999999999</v>
      </c>
      <c r="C7" s="58">
        <v>1.3640000000000001</v>
      </c>
      <c r="D7" s="80">
        <f>IF($BN$5=1,D6+C7-B6,C7)</f>
        <v>1.3640000000000001</v>
      </c>
      <c r="E7" s="59">
        <v>1</v>
      </c>
      <c r="F7" s="60">
        <v>0.21789194201692505</v>
      </c>
      <c r="G7" s="61">
        <v>0.23809022454519449</v>
      </c>
      <c r="H7" s="81">
        <f t="shared" ref="H7:H12" si="20">AVERAGE(F7:G7)</f>
        <v>0.22799108328105977</v>
      </c>
      <c r="I7" s="59">
        <v>1</v>
      </c>
      <c r="J7" s="76">
        <f t="shared" si="6"/>
        <v>0.266744002000247</v>
      </c>
      <c r="K7" s="77"/>
      <c r="L7" s="6"/>
      <c r="M7" s="83" t="s">
        <v>91</v>
      </c>
      <c r="N7" s="84">
        <f>AD24</f>
        <v>5.7490467691416247E-2</v>
      </c>
      <c r="O7" s="6"/>
      <c r="Q7" s="14" t="str">
        <f t="shared" si="0"/>
        <v>29 ½</v>
      </c>
      <c r="R7" s="5">
        <f>5*SUM(H$5:H8)</f>
        <v>2.6948641159623454</v>
      </c>
      <c r="S7" s="5">
        <f t="shared" si="1"/>
        <v>0.74777486803655246</v>
      </c>
      <c r="T7" s="5">
        <f t="shared" si="7"/>
        <v>1.2356240454659875</v>
      </c>
      <c r="U7" s="5">
        <f t="shared" si="2"/>
        <v>1.295668848188934</v>
      </c>
      <c r="V7" s="5">
        <f t="shared" si="8"/>
        <v>-6.0044802722946544E-2</v>
      </c>
      <c r="W7" s="5">
        <f t="shared" si="3"/>
        <v>-3.6423874753142363E-2</v>
      </c>
      <c r="Y7" s="5">
        <f t="shared" si="4"/>
        <v>-6.0044802722946544E-2</v>
      </c>
      <c r="Z7" s="5">
        <f t="shared" si="9"/>
        <v>-3.6423874753142363E-2</v>
      </c>
      <c r="AB7" s="5">
        <f t="shared" si="10"/>
        <v>-6.0044802722946544E-2</v>
      </c>
      <c r="AC7" s="5">
        <f t="shared" si="11"/>
        <v>-3.6423874753142363E-2</v>
      </c>
      <c r="AD7" s="5">
        <f t="shared" si="12"/>
        <v>2.6514335127368761E-5</v>
      </c>
      <c r="AF7" s="14" t="s">
        <v>47</v>
      </c>
      <c r="AG7" s="3">
        <f>AH7+AI7</f>
        <v>7</v>
      </c>
      <c r="AH7" s="3">
        <f>COUNTIF($AB$4:$AB$11,"&lt;&gt;0")</f>
        <v>4</v>
      </c>
      <c r="AI7" s="3">
        <f>COUNTIF($AB$16:$AB$23,"&lt;&gt;0")</f>
        <v>3</v>
      </c>
      <c r="AO7" s="35" t="s">
        <v>26</v>
      </c>
      <c r="AP7" s="26">
        <f t="shared" si="13"/>
        <v>0.58723928008108417</v>
      </c>
      <c r="AQ7" s="26">
        <f t="shared" si="14"/>
        <v>0.63050499999999998</v>
      </c>
      <c r="AR7" s="26">
        <f t="shared" si="15"/>
        <v>0.75286581040544553</v>
      </c>
      <c r="AS7" s="26">
        <f t="shared" si="16"/>
        <v>1.2592449734357916</v>
      </c>
      <c r="AT7" s="26">
        <f t="shared" si="5"/>
        <v>-3.6423874753142363E-2</v>
      </c>
      <c r="AU7" s="26">
        <f>((AQ7-AQ8)^2*EXP(AQ7+AQ8))/(EXP(AQ7)-EXP(AQ8))^2</f>
        <v>0.95298725725263955</v>
      </c>
      <c r="AV7" s="26">
        <f t="shared" si="17"/>
        <v>1.295668848188934</v>
      </c>
      <c r="AW7" s="26">
        <f t="shared" si="18"/>
        <v>-3.6423874753142363E-2</v>
      </c>
      <c r="BA7" s="14">
        <v>12</v>
      </c>
      <c r="BB7" s="3">
        <v>-2.74255</v>
      </c>
      <c r="BE7" s="3">
        <f t="shared" si="19"/>
        <v>1.8068199163533548E-7</v>
      </c>
      <c r="BH7" s="3"/>
      <c r="BM7" s="106">
        <v>10</v>
      </c>
      <c r="BN7" s="104"/>
    </row>
    <row r="8" spans="1:66" ht="18.75" customHeight="1" x14ac:dyDescent="0.3">
      <c r="A8" s="74" t="s">
        <v>2</v>
      </c>
      <c r="B8" s="57">
        <v>3.2138</v>
      </c>
      <c r="C8" s="58">
        <v>2.6073</v>
      </c>
      <c r="D8" s="80">
        <f>IF($BN$5=1,D7+C8-B7,D6+C8-B6)</f>
        <v>2.6505000000000001</v>
      </c>
      <c r="E8" s="59">
        <v>1</v>
      </c>
      <c r="F8" s="60">
        <v>0.23093002369167692</v>
      </c>
      <c r="G8" s="61">
        <v>0.21238830030147074</v>
      </c>
      <c r="H8" s="81">
        <f t="shared" si="20"/>
        <v>0.22165916199657382</v>
      </c>
      <c r="I8" s="59">
        <v>1</v>
      </c>
      <c r="J8" s="76">
        <f t="shared" si="6"/>
        <v>0.26069710279156999</v>
      </c>
      <c r="K8" s="77"/>
      <c r="L8" s="6"/>
      <c r="M8" s="6"/>
      <c r="N8" s="6"/>
      <c r="O8" s="6"/>
      <c r="Q8" s="14" t="str">
        <f t="shared" si="0"/>
        <v>34 ½</v>
      </c>
      <c r="R8" s="5">
        <f>5*SUM(H$5:H9)</f>
        <v>3.6038441931570988</v>
      </c>
      <c r="S8" s="5">
        <f t="shared" si="1"/>
        <v>0.8446289326063936</v>
      </c>
      <c r="T8" s="5">
        <f t="shared" si="7"/>
        <v>1.7786978581892585</v>
      </c>
      <c r="U8" s="5">
        <f t="shared" si="2"/>
        <v>0.96150591279315123</v>
      </c>
      <c r="V8" s="5">
        <f t="shared" si="8"/>
        <v>0.81719194539610729</v>
      </c>
      <c r="W8" s="5">
        <f t="shared" si="3"/>
        <v>0.84054780591080702</v>
      </c>
      <c r="Y8" s="5">
        <f t="shared" si="4"/>
        <v>0.81719194539610729</v>
      </c>
      <c r="Z8" s="5">
        <f t="shared" si="9"/>
        <v>0.84054780591080702</v>
      </c>
      <c r="AB8" s="5">
        <f t="shared" si="10"/>
        <v>0.81719194539610729</v>
      </c>
      <c r="AC8" s="5">
        <f t="shared" si="11"/>
        <v>0.84054780591080702</v>
      </c>
      <c r="AD8" s="5">
        <f t="shared" si="12"/>
        <v>2.9395774850772606E-6</v>
      </c>
      <c r="AF8" s="14"/>
      <c r="AO8" s="35" t="s">
        <v>27</v>
      </c>
      <c r="AP8" s="26">
        <f t="shared" si="13"/>
        <v>0.78000524391569137</v>
      </c>
      <c r="AQ8" s="26">
        <f t="shared" si="14"/>
        <v>1.3924950000000003</v>
      </c>
      <c r="AR8" s="26">
        <f t="shared" si="15"/>
        <v>0.84792782472919082</v>
      </c>
      <c r="AS8" s="26">
        <f t="shared" si="16"/>
        <v>1.8020537187039583</v>
      </c>
      <c r="AT8" s="26">
        <f t="shared" si="5"/>
        <v>0.84054780591080702</v>
      </c>
      <c r="AU8" s="26"/>
      <c r="AV8" s="26">
        <f t="shared" si="17"/>
        <v>0.96150591279315123</v>
      </c>
      <c r="AW8" s="26">
        <f t="shared" si="18"/>
        <v>0.84054780591080702</v>
      </c>
      <c r="BA8" s="14">
        <v>12.5</v>
      </c>
      <c r="BB8" s="3">
        <v>-2.555545</v>
      </c>
      <c r="BE8" s="3">
        <f t="shared" si="19"/>
        <v>2.5528085116893268E-6</v>
      </c>
      <c r="BH8" s="3"/>
    </row>
    <row r="9" spans="1:66" ht="18.75" customHeight="1" x14ac:dyDescent="0.3">
      <c r="A9" s="74" t="s">
        <v>3</v>
      </c>
      <c r="B9" s="57">
        <v>4.7602000000000002</v>
      </c>
      <c r="C9" s="58">
        <v>4.1432000000000002</v>
      </c>
      <c r="D9" s="80">
        <f>IF($BN$5=1,D8+C9-B8,D7+C9-B7)</f>
        <v>3.9824999999999999</v>
      </c>
      <c r="E9" s="59">
        <v>1</v>
      </c>
      <c r="F9" s="60">
        <v>0.19079979207057107</v>
      </c>
      <c r="G9" s="61">
        <v>0.17279223880733019</v>
      </c>
      <c r="H9" s="81">
        <f t="shared" si="20"/>
        <v>0.18179601543895063</v>
      </c>
      <c r="I9" s="59">
        <v>1</v>
      </c>
      <c r="J9" s="76">
        <f t="shared" si="6"/>
        <v>0.21313212614787505</v>
      </c>
      <c r="K9" s="77"/>
      <c r="L9" s="6"/>
      <c r="M9" s="6"/>
      <c r="N9" s="6"/>
      <c r="O9" s="6"/>
      <c r="Q9" s="14" t="str">
        <f t="shared" si="0"/>
        <v>39 ½</v>
      </c>
      <c r="R9" s="5">
        <f>5*SUM(H$5:H10)</f>
        <v>4.2667780536906257</v>
      </c>
      <c r="S9" s="5">
        <f t="shared" si="1"/>
        <v>0.92686716801199531</v>
      </c>
      <c r="T9" s="5">
        <f t="shared" si="7"/>
        <v>2.5777456740612732</v>
      </c>
      <c r="U9" s="5">
        <f t="shared" si="2"/>
        <v>0.44092673656997894</v>
      </c>
      <c r="V9" s="5">
        <f t="shared" si="8"/>
        <v>2.1368189374912943</v>
      </c>
      <c r="W9" s="5">
        <f t="shared" si="3"/>
        <v>2.179944634001882</v>
      </c>
      <c r="Y9" s="5">
        <f t="shared" si="4"/>
        <v>2.1368189374912943</v>
      </c>
      <c r="Z9" s="5">
        <f t="shared" si="9"/>
        <v>2.179944634001882</v>
      </c>
      <c r="AB9" s="5">
        <f t="shared" si="10"/>
        <v>2.1368189374912943</v>
      </c>
      <c r="AC9" s="5">
        <f t="shared" si="11"/>
        <v>2.179944634001882</v>
      </c>
      <c r="AD9" s="5">
        <f t="shared" si="12"/>
        <v>5.619717715138827E-4</v>
      </c>
      <c r="AF9" s="14" t="s">
        <v>101</v>
      </c>
      <c r="AG9" s="5">
        <f>AH9+AI9</f>
        <v>1.1366047972657718</v>
      </c>
      <c r="AH9" s="5">
        <f>SUM(AB4:AB11)</f>
        <v>2.1125935700942127</v>
      </c>
      <c r="AI9" s="5">
        <f>SUM(AB16:AB23)</f>
        <v>-0.97598877282844088</v>
      </c>
      <c r="AO9" s="35" t="s">
        <v>28</v>
      </c>
      <c r="AP9" s="26">
        <f t="shared" si="13"/>
        <v>0.91989579910861818</v>
      </c>
      <c r="AQ9" s="26">
        <f t="shared" si="14"/>
        <v>2.4829699999999999</v>
      </c>
      <c r="AR9" s="26">
        <f t="shared" si="15"/>
        <v>0.92984306704544728</v>
      </c>
      <c r="AS9" s="26">
        <f t="shared" si="16"/>
        <v>2.6208713705718609</v>
      </c>
      <c r="AT9" s="26">
        <f t="shared" si="5"/>
        <v>2.179944634001882</v>
      </c>
      <c r="AU9" s="26"/>
      <c r="AV9" s="26">
        <f t="shared" si="17"/>
        <v>0.44092673656997894</v>
      </c>
      <c r="AW9" s="26">
        <f t="shared" si="18"/>
        <v>2.179944634001882</v>
      </c>
      <c r="BA9" s="14">
        <v>13</v>
      </c>
      <c r="BB9" s="3">
        <v>-2.3685399999999999</v>
      </c>
      <c r="BE9" s="3">
        <f t="shared" si="19"/>
        <v>2.2959345635607759E-5</v>
      </c>
      <c r="BH9" s="3"/>
    </row>
    <row r="10" spans="1:66" ht="18.75" customHeight="1" x14ac:dyDescent="0.3">
      <c r="A10" s="74" t="s">
        <v>4</v>
      </c>
      <c r="B10" s="57">
        <v>6.2389999999999999</v>
      </c>
      <c r="C10" s="58">
        <v>5.3867000000000003</v>
      </c>
      <c r="D10" s="80">
        <f>IF($BN$5=1,D9+C10-B9,D6+C8-B6+C10-B8)</f>
        <v>4.8234000000000004</v>
      </c>
      <c r="E10" s="59">
        <v>1</v>
      </c>
      <c r="F10" s="60">
        <v>0.14582786139297027</v>
      </c>
      <c r="G10" s="61">
        <v>0.11934568282044056</v>
      </c>
      <c r="H10" s="81">
        <f t="shared" si="20"/>
        <v>0.13258677210670541</v>
      </c>
      <c r="I10" s="59">
        <v>1</v>
      </c>
      <c r="J10" s="76">
        <f t="shared" si="6"/>
        <v>0.15255366642985901</v>
      </c>
      <c r="K10" s="77"/>
      <c r="L10" s="6"/>
      <c r="M10" s="6"/>
      <c r="N10" s="6"/>
      <c r="O10" s="6"/>
      <c r="Q10" s="14" t="str">
        <f t="shared" si="0"/>
        <v>44 ½</v>
      </c>
      <c r="R10" s="5">
        <f>5*SUM(H$5:H11)</f>
        <v>4.6034407096782672</v>
      </c>
      <c r="S10" s="5">
        <f t="shared" si="1"/>
        <v>0.97076032549556346</v>
      </c>
      <c r="T10" s="5">
        <f t="shared" si="7"/>
        <v>3.517427632414627</v>
      </c>
      <c r="U10" s="5">
        <f t="shared" si="2"/>
        <v>9.5617605824038776E-4</v>
      </c>
      <c r="V10" s="5">
        <f t="shared" si="8"/>
        <v>3.5164714563563866</v>
      </c>
      <c r="W10" s="5">
        <f t="shared" si="3"/>
        <v>4.5314818046459751</v>
      </c>
      <c r="Y10" s="5" t="e">
        <f t="shared" si="4"/>
        <v>#N/A</v>
      </c>
      <c r="Z10" s="5" t="e">
        <f t="shared" si="9"/>
        <v>#N/A</v>
      </c>
      <c r="AB10" s="5">
        <f t="shared" si="10"/>
        <v>0</v>
      </c>
      <c r="AC10" s="5">
        <f t="shared" si="11"/>
        <v>0</v>
      </c>
      <c r="AD10" s="5">
        <f t="shared" si="12"/>
        <v>0</v>
      </c>
      <c r="AF10" s="14" t="s">
        <v>102</v>
      </c>
      <c r="AG10" s="5">
        <f>AH10+AI10</f>
        <v>1.3313036083200274</v>
      </c>
      <c r="AH10" s="5">
        <f>SUM(AC4:AC11)</f>
        <v>2.2414659109128166</v>
      </c>
      <c r="AI10" s="5">
        <f>SUM(AC16:AC23)</f>
        <v>-0.91016230259278919</v>
      </c>
      <c r="AO10" s="35" t="s">
        <v>29</v>
      </c>
      <c r="AP10" s="26">
        <f t="shared" si="13"/>
        <v>0.9893022077709992</v>
      </c>
      <c r="AQ10" s="26">
        <f t="shared" si="14"/>
        <v>4.5323450000000012</v>
      </c>
      <c r="AR10" s="26">
        <f t="shared" si="15"/>
        <v>0.98930319707419634</v>
      </c>
      <c r="AS10" s="26">
        <f t="shared" si="16"/>
        <v>4.5324379807042154</v>
      </c>
      <c r="AT10" s="26">
        <f t="shared" si="5"/>
        <v>4.5314818046459751</v>
      </c>
      <c r="AU10" s="26"/>
      <c r="AV10" s="26">
        <f t="shared" si="17"/>
        <v>9.5617605824038776E-4</v>
      </c>
      <c r="AW10" s="26">
        <f t="shared" si="18"/>
        <v>4.5314818046459751</v>
      </c>
      <c r="BA10" s="14">
        <v>13.5</v>
      </c>
      <c r="BB10" s="3">
        <v>-2.2046649999999999</v>
      </c>
      <c r="BE10" s="3">
        <f t="shared" si="19"/>
        <v>1.1538761379165061E-4</v>
      </c>
      <c r="BH10" s="3"/>
    </row>
    <row r="11" spans="1:66" ht="18.75" customHeight="1" thickBot="1" x14ac:dyDescent="0.35">
      <c r="A11" s="74" t="s">
        <v>5</v>
      </c>
      <c r="B11" s="57">
        <v>7.1204000000000001</v>
      </c>
      <c r="C11" s="58">
        <v>6.3818000000000001</v>
      </c>
      <c r="D11" s="80">
        <f>IF($BN$5=1,D10+C11-B10,D7+C9-B7+C11-B9)</f>
        <v>5.6040999999999999</v>
      </c>
      <c r="E11" s="59"/>
      <c r="F11" s="60">
        <v>7.6353027965931186E-2</v>
      </c>
      <c r="G11" s="61">
        <v>5.8312034429125234E-2</v>
      </c>
      <c r="H11" s="81">
        <f t="shared" si="20"/>
        <v>6.7332531197528217E-2</v>
      </c>
      <c r="I11" s="59">
        <v>1</v>
      </c>
      <c r="J11" s="76">
        <f t="shared" si="6"/>
        <v>6.9989396475704874E-2</v>
      </c>
      <c r="K11" s="77"/>
      <c r="L11" s="6"/>
      <c r="M11" s="6"/>
      <c r="N11" s="6"/>
      <c r="O11" s="6"/>
      <c r="Q11" s="16" t="str">
        <f t="shared" si="0"/>
        <v>49 ½</v>
      </c>
      <c r="R11" s="19">
        <f>5*SUM(H$5:H12)</f>
        <v>4.742098115029842</v>
      </c>
      <c r="S11" s="19">
        <v>1</v>
      </c>
      <c r="T11" s="19" t="e">
        <f>IF(AND(S11&lt;&gt;0,S11&lt;&gt;1),-LN(-LN(S11)),NA())</f>
        <v>#N/A</v>
      </c>
      <c r="U11" s="19">
        <f t="shared" si="2"/>
        <v>0</v>
      </c>
      <c r="V11" s="19" t="e">
        <f t="shared" si="8"/>
        <v>#N/A</v>
      </c>
      <c r="W11" s="19" t="e">
        <f t="shared" si="3"/>
        <v>#DIV/0!</v>
      </c>
      <c r="X11" s="18"/>
      <c r="Y11" s="19" t="e">
        <f>IF(AND($I14=1,$I12=1),V11,NA())</f>
        <v>#N/A</v>
      </c>
      <c r="Z11" s="19" t="e">
        <f t="shared" si="9"/>
        <v>#N/A</v>
      </c>
      <c r="AA11" s="18"/>
      <c r="AB11" s="19">
        <f t="shared" si="10"/>
        <v>0</v>
      </c>
      <c r="AC11" s="19">
        <f t="shared" si="11"/>
        <v>0</v>
      </c>
      <c r="AD11" s="19">
        <f t="shared" si="12"/>
        <v>0</v>
      </c>
      <c r="AF11" s="14" t="s">
        <v>103</v>
      </c>
      <c r="AG11" s="5">
        <f>AH11+AI11</f>
        <v>7.3427459708185809</v>
      </c>
      <c r="AH11" s="5">
        <f>SUMPRODUCT(AB4:AB11,AC4:AC11)</f>
        <v>5.927472237635981</v>
      </c>
      <c r="AI11" s="5">
        <f>SUMPRODUCT(AB16:AB23,AC16:AC23)</f>
        <v>1.4152737331825997</v>
      </c>
      <c r="AO11" s="36" t="s">
        <v>30</v>
      </c>
      <c r="AP11" s="27">
        <f>AP47</f>
        <v>0.99999899999999997</v>
      </c>
      <c r="AQ11" s="27">
        <f t="shared" si="14"/>
        <v>13.81551005793531</v>
      </c>
      <c r="AR11" s="27" t="e">
        <f t="shared" si="15"/>
        <v>#DIV/0!</v>
      </c>
      <c r="AS11" s="27" t="e">
        <f t="shared" si="16"/>
        <v>#DIV/0!</v>
      </c>
      <c r="AT11" s="27" t="e">
        <f t="shared" ref="AT11" si="21">((AQ12*EXP(-AQ12))-(AQ11*EXP(-AQ11)))/LN(AR11)</f>
        <v>#DIV/0!</v>
      </c>
      <c r="AU11" s="27"/>
      <c r="AV11" s="27"/>
      <c r="AW11" s="27" t="e">
        <f t="shared" si="18"/>
        <v>#DIV/0!</v>
      </c>
      <c r="BA11" s="14">
        <v>14</v>
      </c>
      <c r="BB11" s="3">
        <v>-2.0407899999999999</v>
      </c>
      <c r="BE11" s="3">
        <f t="shared" si="19"/>
        <v>4.5432980513205316E-4</v>
      </c>
      <c r="BH11" s="3"/>
    </row>
    <row r="12" spans="1:66" ht="18.75" customHeight="1" x14ac:dyDescent="0.3">
      <c r="A12" s="74" t="s">
        <v>6</v>
      </c>
      <c r="B12" s="57">
        <v>7.5103</v>
      </c>
      <c r="C12" s="58">
        <v>6.9142999999999999</v>
      </c>
      <c r="D12" s="80">
        <f>IF($BN$5=1,D11+C12-B11,D8+C10-B8+C12-B10)</f>
        <v>5.4987000000000004</v>
      </c>
      <c r="E12" s="59"/>
      <c r="F12" s="60">
        <v>3.5136131930083379E-2</v>
      </c>
      <c r="G12" s="61">
        <v>2.0326830210546647E-2</v>
      </c>
      <c r="H12" s="81">
        <f t="shared" si="20"/>
        <v>2.7731481070315013E-2</v>
      </c>
      <c r="I12" s="59"/>
      <c r="J12" s="76">
        <f t="shared" si="6"/>
        <v>9.1185100419876267E-3</v>
      </c>
      <c r="K12" s="77"/>
      <c r="L12" s="6"/>
      <c r="M12" s="6"/>
      <c r="N12" s="6"/>
      <c r="O12" s="6"/>
      <c r="Q12" s="4"/>
      <c r="S12" s="5"/>
      <c r="T12" s="5"/>
      <c r="U12" s="5"/>
      <c r="V12" s="5"/>
      <c r="W12" s="5"/>
      <c r="Y12" s="5"/>
      <c r="Z12" s="5"/>
      <c r="AB12" s="5"/>
      <c r="AC12" s="5"/>
      <c r="AD12" s="39"/>
      <c r="AF12" s="14" t="s">
        <v>104</v>
      </c>
      <c r="AG12" s="5">
        <f>AH12+AI12</f>
        <v>7.3498358035710627</v>
      </c>
      <c r="AH12" s="5">
        <f>SUMPRODUCT(AC4:AC11,AC4:AC11)</f>
        <v>6.0114646220813919</v>
      </c>
      <c r="AI12" s="5">
        <f>SUMPRODUCT(AC16:AC23,AC16:AC23)</f>
        <v>1.3383711814896704</v>
      </c>
      <c r="AO12" s="28"/>
      <c r="AP12" s="29"/>
      <c r="AQ12" s="29"/>
      <c r="AR12" s="28"/>
      <c r="AS12" s="28"/>
      <c r="AT12" s="28"/>
      <c r="AU12" s="38">
        <f>AVERAGE(AU5:AU7)</f>
        <v>0.95749948403306373</v>
      </c>
      <c r="BA12" s="14">
        <v>14.5</v>
      </c>
      <c r="BB12" s="3">
        <v>-1.8964449999999999</v>
      </c>
      <c r="BE12" s="3">
        <f t="shared" si="19"/>
        <v>1.2783714883985553E-3</v>
      </c>
      <c r="BH12" s="3"/>
    </row>
    <row r="13" spans="1:66" ht="18.75" customHeight="1" thickBot="1" x14ac:dyDescent="0.35">
      <c r="A13" s="74" t="s">
        <v>56</v>
      </c>
      <c r="B13" s="108"/>
      <c r="C13" s="109"/>
      <c r="D13" s="85"/>
      <c r="E13" s="62"/>
      <c r="F13" s="110"/>
      <c r="G13" s="111"/>
      <c r="H13" s="85"/>
      <c r="I13" s="62"/>
      <c r="J13" s="86"/>
      <c r="K13" s="87"/>
      <c r="L13" s="6"/>
      <c r="M13" s="6"/>
      <c r="N13" s="6"/>
      <c r="O13" s="4"/>
      <c r="Q13" s="4"/>
      <c r="S13" s="5"/>
      <c r="Y13" s="5"/>
      <c r="Z13" s="5"/>
      <c r="AB13" s="5"/>
      <c r="AC13" s="5"/>
      <c r="AD13" s="39"/>
      <c r="AF13" s="14"/>
      <c r="AQ13" s="122" t="s">
        <v>119</v>
      </c>
      <c r="AR13" s="122"/>
      <c r="AS13" s="122"/>
      <c r="AT13" s="122"/>
      <c r="AU13" s="122"/>
      <c r="AV13" s="122"/>
      <c r="AW13" s="122"/>
      <c r="BA13" s="14">
        <v>15</v>
      </c>
      <c r="BB13" s="3">
        <v>-1.7521</v>
      </c>
      <c r="BE13" s="3">
        <f t="shared" si="19"/>
        <v>3.1300695963830103E-3</v>
      </c>
      <c r="BH13" s="3">
        <f>0.2*(0.25*(BE3+BE13)+0.5*SUM(BE4:BE12))</f>
        <v>3.4388210159756218E-4</v>
      </c>
    </row>
    <row r="14" spans="1:66" ht="18.75" customHeight="1" thickBot="1" x14ac:dyDescent="0.35">
      <c r="A14" s="7" t="s">
        <v>134</v>
      </c>
      <c r="H14" s="88">
        <f>5*SUM(H6:H12)</f>
        <v>4.742098115029842</v>
      </c>
      <c r="J14" s="88">
        <f>5*SUM(J6:J12)</f>
        <v>5.5569121738009581</v>
      </c>
      <c r="K14" s="87"/>
      <c r="L14" s="4"/>
      <c r="M14" s="4"/>
      <c r="N14" s="4"/>
      <c r="O14" s="4"/>
      <c r="Q14" s="15" t="s">
        <v>58</v>
      </c>
      <c r="R14" s="15"/>
      <c r="S14" s="15"/>
      <c r="T14" s="15"/>
      <c r="U14" s="15"/>
      <c r="V14" s="15"/>
      <c r="W14" s="15"/>
      <c r="X14" s="15"/>
      <c r="Y14" s="123"/>
      <c r="Z14" s="123"/>
      <c r="AA14" s="15"/>
      <c r="AB14" s="123"/>
      <c r="AC14" s="123"/>
      <c r="AD14" s="40"/>
      <c r="AF14" s="14"/>
      <c r="AO14" s="33" t="s">
        <v>21</v>
      </c>
      <c r="AP14" s="33" t="s">
        <v>22</v>
      </c>
      <c r="AQ14" s="33" t="s">
        <v>14</v>
      </c>
      <c r="AR14" s="33" t="s">
        <v>49</v>
      </c>
      <c r="AS14" s="33" t="s">
        <v>50</v>
      </c>
      <c r="AT14" s="33" t="s">
        <v>51</v>
      </c>
      <c r="AU14" s="33" t="s">
        <v>52</v>
      </c>
      <c r="AV14" s="33" t="s">
        <v>10</v>
      </c>
      <c r="AW14" s="33" t="s">
        <v>12</v>
      </c>
      <c r="BA14" s="14">
        <v>15.5</v>
      </c>
      <c r="BB14" s="3">
        <v>-1.6224799999999999</v>
      </c>
      <c r="BE14" s="3">
        <f t="shared" si="19"/>
        <v>6.3098868612186413E-3</v>
      </c>
      <c r="BH14" s="3">
        <f>0.2*(0.25*(BE4+BE14)+0.5*SUM(BE5:BE13))</f>
        <v>8.1587992447764487E-4</v>
      </c>
    </row>
    <row r="15" spans="1:66" ht="18.75" customHeight="1" x14ac:dyDescent="0.3">
      <c r="B15" s="7"/>
      <c r="C15" s="7"/>
      <c r="D15" s="7"/>
      <c r="E15" s="4"/>
      <c r="F15" s="4"/>
      <c r="I15" s="89"/>
      <c r="K15" s="4"/>
      <c r="L15" s="4"/>
      <c r="M15" s="4"/>
      <c r="N15" s="4"/>
      <c r="O15" s="4"/>
      <c r="Q15" s="16"/>
      <c r="R15" s="16" t="s">
        <v>109</v>
      </c>
      <c r="S15" s="16" t="s">
        <v>38</v>
      </c>
      <c r="T15" s="16" t="s">
        <v>40</v>
      </c>
      <c r="U15" s="16" t="s">
        <v>34</v>
      </c>
      <c r="V15" s="16" t="s">
        <v>41</v>
      </c>
      <c r="W15" s="16" t="s">
        <v>35</v>
      </c>
      <c r="X15" s="16"/>
      <c r="Y15" s="16"/>
      <c r="Z15" s="16"/>
      <c r="AA15" s="16"/>
      <c r="AB15" s="16"/>
      <c r="AC15" s="16"/>
      <c r="AD15" s="16"/>
      <c r="AF15" s="14" t="s">
        <v>105</v>
      </c>
      <c r="AG15" s="5">
        <f>(AG11-(AG9*AG10)/AG7)/(AG12-(AG10*AG10/AG7))</f>
        <v>1.0042187851237538</v>
      </c>
      <c r="AH15" s="5">
        <f>(AH11-(AH9*AH10)/AH7)/(AH12-(AH10*AH10/AH7))</f>
        <v>0.99752353332912613</v>
      </c>
      <c r="AI15" s="5">
        <f>(AI11-(AI9*AI10)/AI7)/(AI12-(AI10*AI10/AI7))</f>
        <v>1.0535958552118545</v>
      </c>
      <c r="AJ15" s="5"/>
      <c r="AK15" s="5">
        <f>AG15</f>
        <v>1.0042187851237538</v>
      </c>
      <c r="AO15" s="35">
        <v>15</v>
      </c>
      <c r="AP15" s="26">
        <f>AS40</f>
        <v>3.1300695963830103E-3</v>
      </c>
      <c r="AQ15" s="26">
        <f>-LN(-LN(AP15))</f>
        <v>-1.7521</v>
      </c>
      <c r="AR15" s="26">
        <f>AP15/AP16</f>
        <v>2.3043051910004782E-2</v>
      </c>
      <c r="AS15" s="26">
        <f>-LN(-LN(AR15))</f>
        <v>-1.3271787071048347</v>
      </c>
      <c r="AT15" s="26">
        <f>((AQ16*EXP(-AQ16))-(AQ15*EXP(-AQ15)))/LN(AR15)</f>
        <v>-2.3137618128813635</v>
      </c>
      <c r="AU15" s="26"/>
      <c r="AV15" s="26">
        <f>AS15-AT15</f>
        <v>0.98658310577652886</v>
      </c>
      <c r="AW15" s="26">
        <f>AT15</f>
        <v>-2.3137618128813635</v>
      </c>
      <c r="BA15" s="14">
        <v>16</v>
      </c>
      <c r="BB15" s="3">
        <v>-1.4928600000000001</v>
      </c>
      <c r="BE15" s="3">
        <f t="shared" si="19"/>
        <v>1.1680858806473245E-2</v>
      </c>
      <c r="BH15" s="3">
        <f t="shared" ref="BH15:BH78" si="22">0.2*(0.25*(BE5+BE15)+0.5*SUM(BE6:BE14))</f>
        <v>1.7154172056230142E-3</v>
      </c>
    </row>
    <row r="16" spans="1:66" ht="18.75" customHeight="1" x14ac:dyDescent="0.3">
      <c r="A16" s="7"/>
      <c r="B16" s="7"/>
      <c r="C16" s="7"/>
      <c r="D16" s="7"/>
      <c r="E16" s="4"/>
      <c r="F16" s="4"/>
      <c r="J16" s="4"/>
      <c r="K16" s="4"/>
      <c r="L16" s="4"/>
      <c r="M16" s="4"/>
      <c r="N16" s="4"/>
      <c r="O16" s="6"/>
      <c r="Q16" s="4"/>
      <c r="R16" s="14">
        <v>0</v>
      </c>
      <c r="S16" s="5">
        <f t="shared" ref="S16:S22" si="23">D5/D6</f>
        <v>0</v>
      </c>
      <c r="T16" s="5" t="e">
        <f t="shared" ref="T16:T23" si="24">IF(AND(S16&lt;&gt;0,S16&lt;1),-LN(-LN(S16)),NA())</f>
        <v>#N/A</v>
      </c>
      <c r="U16" s="5">
        <f t="shared" ref="U16:U23" si="25">AW26</f>
        <v>1.0467508348268919</v>
      </c>
      <c r="V16" s="5" t="e">
        <f>T16-U16</f>
        <v>#N/A</v>
      </c>
      <c r="W16" s="5">
        <f t="shared" ref="W16:W23" si="26">AX26</f>
        <v>-2.6605532578841791</v>
      </c>
      <c r="Y16" s="5" t="e">
        <f t="shared" ref="Y16:Y23" si="27">IF(AND($E6=1,$E5=1),V16,NA())</f>
        <v>#N/A</v>
      </c>
      <c r="Z16" s="5" t="e">
        <f t="shared" ref="Z16:Z23" si="28">IF(ISNA(Y16),NA(),W16)</f>
        <v>#N/A</v>
      </c>
      <c r="AB16" s="5">
        <f t="shared" si="10"/>
        <v>0</v>
      </c>
      <c r="AC16" s="5">
        <f>IF(ISNA(Y16),0,Z16)</f>
        <v>0</v>
      </c>
      <c r="AD16" s="5">
        <f>IF(ISNA(Y16),0,(($AK$16+$AK$15*Z16)-Y16)^2)</f>
        <v>0</v>
      </c>
      <c r="AF16" s="14" t="s">
        <v>106</v>
      </c>
      <c r="AG16" s="5">
        <f>AG9/AG7-(AG15*AG10/AG7)</f>
        <v>-2.8616470701747998E-2</v>
      </c>
      <c r="AH16" s="5">
        <f>AH9/AH7-(AH15*AH10/AH7)</f>
        <v>-3.083035629908204E-2</v>
      </c>
      <c r="AI16" s="5">
        <f>AI9/AI7-(AI15*AI10/AI7)</f>
        <v>-5.6818477488668195E-3</v>
      </c>
      <c r="AJ16" s="5"/>
      <c r="AK16" s="5">
        <f>AG16</f>
        <v>-2.8616470701747998E-2</v>
      </c>
      <c r="AO16" s="35">
        <v>20</v>
      </c>
      <c r="AP16" s="26">
        <f t="shared" ref="AP16:AP21" si="29">AS41</f>
        <v>0.13583572213470577</v>
      </c>
      <c r="AQ16" s="26">
        <f t="shared" ref="AQ16:AQ22" si="30">-LN(-LN(AP16))</f>
        <v>-0.69130000000000003</v>
      </c>
      <c r="AR16" s="26">
        <f t="shared" ref="AR16:AR21" si="31">AP16/AP17</f>
        <v>0.36001012048431658</v>
      </c>
      <c r="AS16" s="26">
        <f t="shared" ref="AS16:AS21" si="32">-LN(-LN(AR16))</f>
        <v>-2.1392671790158416E-2</v>
      </c>
      <c r="AT16" s="26">
        <f t="shared" ref="AT16:AT21" si="33">((AQ17*EXP(-AQ17))-(AQ16*EXP(-AQ16)))/LN(AR16)</f>
        <v>-1.3753010709239122</v>
      </c>
      <c r="AU16" s="26">
        <f>((AQ16-AQ17)^2*EXP(AQ16+AQ17))/(EXP(AQ16)-EXP(AQ17))^2</f>
        <v>0.9582451928132486</v>
      </c>
      <c r="AV16" s="26">
        <f t="shared" ref="AV16:AV21" si="34">AS16-AT16</f>
        <v>1.3539083991337537</v>
      </c>
      <c r="AW16" s="26">
        <f t="shared" ref="AW16:AW21" si="35">AT16</f>
        <v>-1.3753010709239122</v>
      </c>
      <c r="BA16" s="14">
        <v>16.5</v>
      </c>
      <c r="BB16" s="3">
        <v>-1.3717350000000001</v>
      </c>
      <c r="BE16" s="3">
        <f t="shared" si="19"/>
        <v>1.9405777353897931E-2</v>
      </c>
      <c r="BH16" s="3">
        <f t="shared" si="22"/>
        <v>3.2697487899254266E-3</v>
      </c>
    </row>
    <row r="17" spans="1:60" ht="18.75" customHeight="1" x14ac:dyDescent="0.3">
      <c r="B17" s="7"/>
      <c r="C17" s="7"/>
      <c r="D17" s="7"/>
      <c r="E17" s="4"/>
      <c r="F17" s="4"/>
      <c r="J17" s="6"/>
      <c r="K17" s="6"/>
      <c r="L17" s="6"/>
      <c r="M17" s="6"/>
      <c r="N17" s="6"/>
      <c r="O17" s="6"/>
      <c r="Q17" s="4"/>
      <c r="R17" s="14">
        <v>1</v>
      </c>
      <c r="S17" s="5">
        <f t="shared" si="23"/>
        <v>0.20879765395894426</v>
      </c>
      <c r="T17" s="5">
        <f t="shared" si="24"/>
        <v>-0.4487733909245043</v>
      </c>
      <c r="U17" s="5">
        <f t="shared" si="25"/>
        <v>1.2850406326741979</v>
      </c>
      <c r="V17" s="5">
        <f t="shared" ref="V17:V23" si="36">T17-U17</f>
        <v>-1.7338140235987023</v>
      </c>
      <c r="W17" s="5">
        <f t="shared" si="26"/>
        <v>-1.746661976392049</v>
      </c>
      <c r="Y17" s="5" t="e">
        <f t="shared" si="27"/>
        <v>#N/A</v>
      </c>
      <c r="Z17" s="5" t="e">
        <f t="shared" si="28"/>
        <v>#N/A</v>
      </c>
      <c r="AB17" s="5">
        <f t="shared" si="10"/>
        <v>0</v>
      </c>
      <c r="AC17" s="5">
        <f t="shared" ref="AC17:AC23" si="37">IF(ISNA(Y17),0,Z17)</f>
        <v>0</v>
      </c>
      <c r="AD17" s="5">
        <f t="shared" ref="AD17:AD23" si="38">IF(ISNA(Y17),0,(($AK$16+$AK$15*Z17)-Y17)^2)</f>
        <v>0</v>
      </c>
      <c r="AF17" s="14" t="s">
        <v>46</v>
      </c>
      <c r="AG17" s="5">
        <f>AG16-0.5*IF($BN$3=1,AG3,AG4)*(AG15-1)^2</f>
        <v>-2.8624995969228382E-2</v>
      </c>
      <c r="AH17" s="5">
        <f>AH16-0.5*IF($BN$3=1,AH3,AH4)*(AH15-1)^2</f>
        <v>-3.0833292417233427E-2</v>
      </c>
      <c r="AI17" s="5">
        <f>AI16-0.5*IF($BN$3=1,AI3,AI4)*(AI15-1)^2</f>
        <v>-7.0584869911584662E-3</v>
      </c>
      <c r="AJ17" s="5"/>
      <c r="AK17" s="5">
        <f>AG17</f>
        <v>-2.8624995969228382E-2</v>
      </c>
      <c r="AO17" s="35">
        <v>25</v>
      </c>
      <c r="AP17" s="26">
        <f t="shared" si="29"/>
        <v>0.37731084323953967</v>
      </c>
      <c r="AQ17" s="26">
        <f t="shared" si="30"/>
        <v>2.5640000000000027E-2</v>
      </c>
      <c r="AR17" s="26">
        <f t="shared" si="31"/>
        <v>0.61995981993834604</v>
      </c>
      <c r="AS17" s="26">
        <f t="shared" si="32"/>
        <v>0.73793408831619267</v>
      </c>
      <c r="AT17" s="26">
        <f t="shared" si="33"/>
        <v>-0.67479262598867551</v>
      </c>
      <c r="AU17" s="26">
        <f>((AQ17-AQ18)^2*EXP(AQ17+AQ18))/(EXP(AQ17)-EXP(AQ18))^2</f>
        <v>0.96294960921111461</v>
      </c>
      <c r="AV17" s="26">
        <f t="shared" si="34"/>
        <v>1.4127267143048683</v>
      </c>
      <c r="AW17" s="26">
        <f t="shared" si="35"/>
        <v>-0.67479262598867551</v>
      </c>
      <c r="BA17" s="14">
        <v>17</v>
      </c>
      <c r="BB17" s="3">
        <v>-1.25061</v>
      </c>
      <c r="BE17" s="3">
        <f t="shared" si="19"/>
        <v>3.0425545340527094E-2</v>
      </c>
      <c r="BH17" s="3">
        <f t="shared" si="22"/>
        <v>5.7613056690701747E-3</v>
      </c>
    </row>
    <row r="18" spans="1:60" ht="18.75" customHeight="1" x14ac:dyDescent="0.3">
      <c r="A18" s="7"/>
      <c r="B18" s="7"/>
      <c r="C18" s="7"/>
      <c r="D18" s="7"/>
      <c r="E18" s="4"/>
      <c r="F18" s="4"/>
      <c r="J18" s="6"/>
      <c r="K18" s="6"/>
      <c r="L18" s="6"/>
      <c r="M18" s="6"/>
      <c r="N18" s="6"/>
      <c r="O18" s="6"/>
      <c r="Q18" s="4"/>
      <c r="R18" s="14">
        <v>2</v>
      </c>
      <c r="S18" s="5">
        <f t="shared" si="23"/>
        <v>0.51461988304093564</v>
      </c>
      <c r="T18" s="5">
        <f t="shared" si="24"/>
        <v>0.40898116917590449</v>
      </c>
      <c r="U18" s="5">
        <f t="shared" si="25"/>
        <v>1.4239931459244659</v>
      </c>
      <c r="V18" s="5">
        <f t="shared" si="36"/>
        <v>-1.0150119767485615</v>
      </c>
      <c r="W18" s="5">
        <f t="shared" si="26"/>
        <v>-1.0158866417223078</v>
      </c>
      <c r="Y18" s="5">
        <f t="shared" si="27"/>
        <v>-1.0150119767485615</v>
      </c>
      <c r="Z18" s="5">
        <f t="shared" si="28"/>
        <v>-1.0158866417223078</v>
      </c>
      <c r="AB18" s="5">
        <f t="shared" si="10"/>
        <v>-1.0150119767485615</v>
      </c>
      <c r="AC18" s="5">
        <f t="shared" si="37"/>
        <v>-1.0158866417223078</v>
      </c>
      <c r="AD18" s="5">
        <f t="shared" si="38"/>
        <v>1.1408818870054531E-3</v>
      </c>
      <c r="AO18" s="35">
        <v>30</v>
      </c>
      <c r="AP18" s="26">
        <f t="shared" si="29"/>
        <v>0.60860531780440641</v>
      </c>
      <c r="AQ18" s="26">
        <f t="shared" si="30"/>
        <v>0.7</v>
      </c>
      <c r="AR18" s="26">
        <f t="shared" si="31"/>
        <v>0.76440612593374357</v>
      </c>
      <c r="AS18" s="26">
        <f t="shared" si="32"/>
        <v>1.3143233323529984</v>
      </c>
      <c r="AT18" s="26">
        <f t="shared" si="33"/>
        <v>3.9329731225932155E-2</v>
      </c>
      <c r="AU18" s="26">
        <f>((AQ18-AQ19)^2*EXP(AQ18+AQ19))/(EXP(AQ18)-EXP(AQ19))^2</f>
        <v>0.95096235574174137</v>
      </c>
      <c r="AV18" s="26">
        <f t="shared" si="34"/>
        <v>1.2749936011270662</v>
      </c>
      <c r="AW18" s="26">
        <f t="shared" si="35"/>
        <v>3.9329731225932155E-2</v>
      </c>
      <c r="BA18" s="14">
        <v>17.5</v>
      </c>
      <c r="BB18" s="3">
        <v>-1.1476999999999999</v>
      </c>
      <c r="BE18" s="3">
        <f t="shared" si="19"/>
        <v>4.2811975547628743E-2</v>
      </c>
      <c r="BH18" s="3">
        <f t="shared" si="22"/>
        <v>9.4230450389528025E-3</v>
      </c>
    </row>
    <row r="19" spans="1:60" ht="18.75" customHeight="1" x14ac:dyDescent="0.3">
      <c r="A19" s="7"/>
      <c r="B19" s="7"/>
      <c r="C19" s="7"/>
      <c r="D19" s="7"/>
      <c r="E19" s="4"/>
      <c r="F19" s="4"/>
      <c r="J19" s="6"/>
      <c r="K19" s="6"/>
      <c r="L19" s="6"/>
      <c r="M19" s="6"/>
      <c r="N19" s="6"/>
      <c r="O19" s="6"/>
      <c r="Q19" s="4"/>
      <c r="R19" s="14">
        <v>3</v>
      </c>
      <c r="S19" s="5">
        <f t="shared" si="23"/>
        <v>0.66553672316384183</v>
      </c>
      <c r="T19" s="5">
        <f t="shared" si="24"/>
        <v>0.89854546125928025</v>
      </c>
      <c r="U19" s="5">
        <f t="shared" si="25"/>
        <v>1.3716680817709606</v>
      </c>
      <c r="V19" s="5">
        <f t="shared" si="36"/>
        <v>-0.4731226205116803</v>
      </c>
      <c r="W19" s="5">
        <f t="shared" si="26"/>
        <v>-0.33492430178104132</v>
      </c>
      <c r="Y19" s="5">
        <f t="shared" si="27"/>
        <v>-0.4731226205116803</v>
      </c>
      <c r="Z19" s="5">
        <f t="shared" si="28"/>
        <v>-0.33492430178104132</v>
      </c>
      <c r="AB19" s="5">
        <f t="shared" si="10"/>
        <v>-0.4731226205116803</v>
      </c>
      <c r="AC19" s="5">
        <f t="shared" si="37"/>
        <v>-0.33492430178104132</v>
      </c>
      <c r="AD19" s="5">
        <f t="shared" si="38"/>
        <v>1.1700505381813768E-2</v>
      </c>
      <c r="AF19" s="23" t="s">
        <v>107</v>
      </c>
      <c r="AG19" s="23"/>
      <c r="AH19" s="23"/>
      <c r="AI19" s="23"/>
      <c r="AJ19" s="23"/>
      <c r="AK19" s="23"/>
      <c r="AL19" s="23"/>
      <c r="AM19" s="23"/>
      <c r="AO19" s="35">
        <v>35</v>
      </c>
      <c r="AP19" s="26">
        <f t="shared" si="29"/>
        <v>0.79618058667567304</v>
      </c>
      <c r="AQ19" s="26">
        <f t="shared" si="30"/>
        <v>1.47872</v>
      </c>
      <c r="AR19" s="26">
        <f t="shared" si="31"/>
        <v>0.85593285611670689</v>
      </c>
      <c r="AS19" s="26">
        <f t="shared" si="32"/>
        <v>1.8607022667572284</v>
      </c>
      <c r="AT19" s="26">
        <f t="shared" si="33"/>
        <v>0.94501198471450287</v>
      </c>
      <c r="AU19" s="26"/>
      <c r="AV19" s="26">
        <f t="shared" si="34"/>
        <v>0.91569028204272551</v>
      </c>
      <c r="AW19" s="26">
        <f t="shared" si="35"/>
        <v>0.94501198471450287</v>
      </c>
      <c r="BA19" s="14">
        <v>18</v>
      </c>
      <c r="BB19" s="3">
        <v>-1.0447900000000001</v>
      </c>
      <c r="BE19" s="3">
        <f t="shared" si="19"/>
        <v>5.8262217114629582E-2</v>
      </c>
      <c r="BH19" s="3">
        <f t="shared" si="22"/>
        <v>1.4475479064358351E-2</v>
      </c>
    </row>
    <row r="20" spans="1:60" ht="18.75" customHeight="1" x14ac:dyDescent="0.3">
      <c r="A20" s="7"/>
      <c r="B20" s="7"/>
      <c r="C20" s="7"/>
      <c r="D20" s="7"/>
      <c r="E20" s="4"/>
      <c r="F20" s="4"/>
      <c r="J20" s="6"/>
      <c r="K20" s="6"/>
      <c r="L20" s="6"/>
      <c r="M20" s="6"/>
      <c r="N20" s="6"/>
      <c r="O20" s="6"/>
      <c r="Q20" s="4"/>
      <c r="R20" s="14">
        <v>4</v>
      </c>
      <c r="S20" s="5">
        <f t="shared" si="23"/>
        <v>0.82566239582037559</v>
      </c>
      <c r="T20" s="5">
        <f t="shared" si="24"/>
        <v>1.6525055996682072</v>
      </c>
      <c r="U20" s="5">
        <f t="shared" si="25"/>
        <v>1.1403597752364063</v>
      </c>
      <c r="V20" s="5">
        <f t="shared" si="36"/>
        <v>0.5121458244318009</v>
      </c>
      <c r="W20" s="5">
        <f t="shared" si="26"/>
        <v>0.44064864091055989</v>
      </c>
      <c r="Y20" s="5">
        <f t="shared" si="27"/>
        <v>0.5121458244318009</v>
      </c>
      <c r="Z20" s="5">
        <f t="shared" si="28"/>
        <v>0.44064864091055989</v>
      </c>
      <c r="AB20" s="5">
        <f t="shared" si="10"/>
        <v>0.5121458244318009</v>
      </c>
      <c r="AC20" s="5">
        <f t="shared" si="37"/>
        <v>0.44064864091055989</v>
      </c>
      <c r="AD20" s="5">
        <f t="shared" si="38"/>
        <v>9.6539766970047663E-3</v>
      </c>
      <c r="AF20" s="20" t="s">
        <v>39</v>
      </c>
      <c r="AG20" s="20" t="s">
        <v>14</v>
      </c>
      <c r="AH20" s="20" t="s">
        <v>108</v>
      </c>
      <c r="AI20" s="20" t="s">
        <v>13</v>
      </c>
      <c r="AJ20" s="20" t="s">
        <v>15</v>
      </c>
      <c r="AK20" s="20" t="s">
        <v>16</v>
      </c>
      <c r="AL20" s="20" t="s">
        <v>111</v>
      </c>
      <c r="AM20" s="20"/>
      <c r="AO20" s="35">
        <v>40</v>
      </c>
      <c r="AP20" s="26">
        <f t="shared" si="29"/>
        <v>0.9301904711169463</v>
      </c>
      <c r="AQ20" s="26">
        <f t="shared" si="30"/>
        <v>2.6260200000000005</v>
      </c>
      <c r="AR20" s="26">
        <f t="shared" si="31"/>
        <v>0.93780278582953702</v>
      </c>
      <c r="AS20" s="26">
        <f t="shared" si="32"/>
        <v>2.7455090802066415</v>
      </c>
      <c r="AT20" s="26">
        <f t="shared" si="33"/>
        <v>2.3488652855486118</v>
      </c>
      <c r="AU20" s="26"/>
      <c r="AV20" s="26">
        <f t="shared" si="34"/>
        <v>0.39664379465802968</v>
      </c>
      <c r="AW20" s="26">
        <f t="shared" si="35"/>
        <v>2.3488652855486118</v>
      </c>
      <c r="BA20" s="14">
        <v>18.5</v>
      </c>
      <c r="BB20" s="3">
        <v>-0.95203000000000004</v>
      </c>
      <c r="BE20" s="3">
        <f t="shared" si="19"/>
        <v>7.4947757018170039E-2</v>
      </c>
      <c r="BH20" s="3">
        <f t="shared" si="22"/>
        <v>2.1129060423026969E-2</v>
      </c>
    </row>
    <row r="21" spans="1:60" ht="18.75" customHeight="1" x14ac:dyDescent="0.3">
      <c r="A21" s="7"/>
      <c r="B21" s="7"/>
      <c r="C21" s="7"/>
      <c r="D21" s="7"/>
      <c r="E21" s="4"/>
      <c r="F21" s="4"/>
      <c r="J21" s="6"/>
      <c r="K21" s="6"/>
      <c r="L21" s="6"/>
      <c r="M21" s="6"/>
      <c r="N21" s="6"/>
      <c r="O21" s="6"/>
      <c r="Q21" s="4"/>
      <c r="R21" s="14">
        <v>5</v>
      </c>
      <c r="S21" s="5">
        <f t="shared" si="23"/>
        <v>0.86069127959886516</v>
      </c>
      <c r="T21" s="5">
        <f t="shared" si="24"/>
        <v>1.8969906656974516</v>
      </c>
      <c r="U21" s="5">
        <f t="shared" si="25"/>
        <v>0.70220659411705366</v>
      </c>
      <c r="V21" s="5">
        <f t="shared" si="36"/>
        <v>1.1947840715803979</v>
      </c>
      <c r="W21" s="5">
        <f t="shared" si="26"/>
        <v>1.5161902940480383</v>
      </c>
      <c r="Y21" s="5" t="e">
        <f t="shared" si="27"/>
        <v>#N/A</v>
      </c>
      <c r="Z21" s="5" t="e">
        <f t="shared" si="28"/>
        <v>#N/A</v>
      </c>
      <c r="AB21" s="5">
        <f t="shared" si="10"/>
        <v>0</v>
      </c>
      <c r="AC21" s="5">
        <f t="shared" si="37"/>
        <v>0</v>
      </c>
      <c r="AD21" s="5">
        <f t="shared" si="38"/>
        <v>0</v>
      </c>
      <c r="AF21" s="14" t="str">
        <f t="shared" ref="AF21:AF28" si="39">IF($BN$3=1,AO4,AO15)</f>
        <v>14 ½</v>
      </c>
      <c r="AG21" s="5">
        <f t="shared" ref="AG21:AG28" si="40">IF($BN$3=1,AQ4,AQ15)</f>
        <v>-1.8964449999999999</v>
      </c>
      <c r="AH21" s="5">
        <f t="shared" ref="AH21:AH28" si="41">AK$17+AG21*AK$15</f>
        <v>-1.9330706899232457</v>
      </c>
      <c r="AI21" s="5">
        <f t="shared" ref="AI21:AI28" si="42">EXP(-EXP(-AH21))</f>
        <v>9.9706129984483954E-4</v>
      </c>
      <c r="AJ21" s="5">
        <f t="shared" ref="AJ21:AJ28" si="43">AI21*AL$52</f>
        <v>5.5546597788170456E-3</v>
      </c>
      <c r="AK21" s="5">
        <f>AJ21/5</f>
        <v>1.1109319557634091E-3</v>
      </c>
      <c r="AL21" s="5" t="str">
        <f>IF(I5=1,5/AI21*SUMPRODUCT(H$5:H5,I$5:I5),"")</f>
        <v/>
      </c>
      <c r="AM21" s="5"/>
      <c r="AO21" s="35">
        <v>45</v>
      </c>
      <c r="AP21" s="26">
        <f t="shared" si="29"/>
        <v>0.99188281925836119</v>
      </c>
      <c r="AQ21" s="26">
        <f t="shared" si="30"/>
        <v>4.8097000000000021</v>
      </c>
      <c r="AR21" s="26">
        <f t="shared" si="31"/>
        <v>0.99188381114217239</v>
      </c>
      <c r="AS21" s="26">
        <f t="shared" si="32"/>
        <v>4.8098227023925411</v>
      </c>
      <c r="AT21" s="26">
        <f t="shared" si="33"/>
        <v>4.8085948977612238</v>
      </c>
      <c r="AU21" s="26"/>
      <c r="AV21" s="26">
        <f t="shared" si="34"/>
        <v>1.2278046313172197E-3</v>
      </c>
      <c r="AW21" s="26">
        <f t="shared" si="35"/>
        <v>4.8085948977612238</v>
      </c>
      <c r="BA21" s="14">
        <v>19</v>
      </c>
      <c r="BB21" s="3">
        <v>-0.85926999999999998</v>
      </c>
      <c r="BE21" s="3">
        <f t="shared" si="19"/>
        <v>9.4284712703943355E-2</v>
      </c>
      <c r="BH21" s="3">
        <f t="shared" si="22"/>
        <v>2.9562198038186455E-2</v>
      </c>
    </row>
    <row r="22" spans="1:60" ht="18.75" customHeight="1" thickBot="1" x14ac:dyDescent="0.35">
      <c r="A22" s="7"/>
      <c r="B22" s="7"/>
      <c r="C22" s="7"/>
      <c r="D22" s="7"/>
      <c r="E22" s="4"/>
      <c r="F22" s="4"/>
      <c r="J22" s="6"/>
      <c r="K22" s="6"/>
      <c r="L22" s="6"/>
      <c r="M22" s="6"/>
      <c r="N22" s="6"/>
      <c r="O22" s="6"/>
      <c r="Q22" s="4"/>
      <c r="R22" s="14">
        <v>6</v>
      </c>
      <c r="S22" s="5">
        <f t="shared" si="23"/>
        <v>1.0191681670212958</v>
      </c>
      <c r="T22" s="5" t="e">
        <f t="shared" si="24"/>
        <v>#N/A</v>
      </c>
      <c r="U22" s="5">
        <f t="shared" si="25"/>
        <v>0.27048659545151876</v>
      </c>
      <c r="V22" s="5" t="e">
        <f t="shared" si="36"/>
        <v>#N/A</v>
      </c>
      <c r="W22" s="5">
        <f t="shared" si="26"/>
        <v>3.2238040870214846</v>
      </c>
      <c r="Y22" s="5" t="e">
        <f t="shared" si="27"/>
        <v>#N/A</v>
      </c>
      <c r="Z22" s="5" t="e">
        <f t="shared" si="28"/>
        <v>#N/A</v>
      </c>
      <c r="AB22" s="5">
        <f t="shared" si="10"/>
        <v>0</v>
      </c>
      <c r="AC22" s="5">
        <f t="shared" si="37"/>
        <v>0</v>
      </c>
      <c r="AD22" s="5">
        <f t="shared" si="38"/>
        <v>0</v>
      </c>
      <c r="AF22" s="14" t="str">
        <f t="shared" si="39"/>
        <v>19 ½</v>
      </c>
      <c r="AG22" s="5">
        <f t="shared" si="40"/>
        <v>-0.77528500000000011</v>
      </c>
      <c r="AH22" s="5">
        <f t="shared" si="41"/>
        <v>-0.807180756793898</v>
      </c>
      <c r="AI22" s="5">
        <f t="shared" si="42"/>
        <v>0.10629048459142938</v>
      </c>
      <c r="AJ22" s="5">
        <f t="shared" si="43"/>
        <v>0.59214762394535192</v>
      </c>
      <c r="AK22" s="5">
        <f t="shared" ref="AK22:AK28" si="44">(AJ22-AJ21)/5</f>
        <v>0.11731859283330696</v>
      </c>
      <c r="AL22" s="5" t="str">
        <f>IF(I6=1,5/AI22*SUMPRODUCT(H$5:H6,I$5:I6),"")</f>
        <v/>
      </c>
      <c r="AM22" s="5"/>
      <c r="AO22" s="36">
        <v>50</v>
      </c>
      <c r="AP22" s="27">
        <f>AS47</f>
        <v>0.99999899999999997</v>
      </c>
      <c r="AQ22" s="27">
        <f t="shared" si="30"/>
        <v>13.81551005793531</v>
      </c>
      <c r="AR22" s="27"/>
      <c r="AS22" s="27"/>
      <c r="AT22" s="27"/>
      <c r="AU22" s="27"/>
      <c r="AV22" s="27"/>
      <c r="AW22" s="27"/>
      <c r="BA22" s="14">
        <v>19.5</v>
      </c>
      <c r="BB22" s="3">
        <v>-0.775285</v>
      </c>
      <c r="BE22" s="3">
        <f t="shared" si="19"/>
        <v>0.1140394504239105</v>
      </c>
      <c r="BH22" s="3">
        <f t="shared" si="22"/>
        <v>3.9891771129902623E-2</v>
      </c>
    </row>
    <row r="23" spans="1:60" ht="18.75" customHeight="1" x14ac:dyDescent="0.3">
      <c r="A23" s="7"/>
      <c r="B23" s="7"/>
      <c r="C23" s="7"/>
      <c r="D23" s="7"/>
      <c r="E23" s="4"/>
      <c r="F23" s="4"/>
      <c r="J23" s="6"/>
      <c r="K23" s="6"/>
      <c r="L23" s="6"/>
      <c r="M23" s="6"/>
      <c r="N23" s="6"/>
      <c r="O23" s="6"/>
      <c r="Q23" s="17"/>
      <c r="R23" s="16">
        <v>7</v>
      </c>
      <c r="S23" s="19" t="e">
        <f>IF(D13=0,NA(),D12/D13)</f>
        <v>#N/A</v>
      </c>
      <c r="T23" s="19" t="e">
        <f t="shared" si="24"/>
        <v>#N/A</v>
      </c>
      <c r="U23" s="19">
        <f t="shared" si="25"/>
        <v>0</v>
      </c>
      <c r="V23" s="19" t="e">
        <f t="shared" si="36"/>
        <v>#N/A</v>
      </c>
      <c r="W23" s="19">
        <f t="shared" si="26"/>
        <v>6.0922294399695742</v>
      </c>
      <c r="X23" s="18"/>
      <c r="Y23" s="19" t="e">
        <f t="shared" si="27"/>
        <v>#N/A</v>
      </c>
      <c r="Z23" s="19" t="e">
        <f t="shared" si="28"/>
        <v>#N/A</v>
      </c>
      <c r="AA23" s="18"/>
      <c r="AB23" s="19">
        <f t="shared" si="10"/>
        <v>0</v>
      </c>
      <c r="AC23" s="19">
        <f t="shared" si="37"/>
        <v>0</v>
      </c>
      <c r="AD23" s="19">
        <f t="shared" si="38"/>
        <v>0</v>
      </c>
      <c r="AF23" s="14" t="str">
        <f t="shared" si="39"/>
        <v>24 ½</v>
      </c>
      <c r="AG23" s="5">
        <f t="shared" si="40"/>
        <v>-4.1095000000000055E-2</v>
      </c>
      <c r="AH23" s="5">
        <f t="shared" si="41"/>
        <v>-6.9893366943889104E-2</v>
      </c>
      <c r="AI23" s="5">
        <f t="shared" si="42"/>
        <v>0.3421883979048575</v>
      </c>
      <c r="AJ23" s="5">
        <f t="shared" si="43"/>
        <v>1.9063422990299033</v>
      </c>
      <c r="AK23" s="5">
        <f t="shared" si="44"/>
        <v>0.2628389350169103</v>
      </c>
      <c r="AL23" s="5">
        <f>IF(I7=1,5/AI23*SUM(H$5:H7),"")</f>
        <v>4.6365344812789582</v>
      </c>
      <c r="AM23" s="5"/>
      <c r="AU23" s="38">
        <f>AVERAGE(AU16:AU18)</f>
        <v>0.95738571925536819</v>
      </c>
      <c r="BA23" s="14">
        <v>20</v>
      </c>
      <c r="BB23" s="3">
        <v>-0.69130000000000003</v>
      </c>
      <c r="BE23" s="3">
        <f t="shared" si="19"/>
        <v>0.13583572213470577</v>
      </c>
      <c r="BH23" s="3">
        <f t="shared" si="22"/>
        <v>5.2165107703594352E-2</v>
      </c>
    </row>
    <row r="24" spans="1:60" ht="18.75" customHeight="1" thickBot="1" x14ac:dyDescent="0.35">
      <c r="A24" s="7"/>
      <c r="B24" s="7"/>
      <c r="C24" s="7"/>
      <c r="D24" s="7"/>
      <c r="E24" s="4"/>
      <c r="F24" s="4"/>
      <c r="J24" s="6"/>
      <c r="K24" s="6"/>
      <c r="L24" s="6"/>
      <c r="M24" s="6"/>
      <c r="N24" s="6"/>
      <c r="O24" s="4"/>
      <c r="AD24" s="90">
        <f>SQRT(SUM(AD4:AD23)/(COUNTIF(AD16:AD23,"&lt;&gt;0")+COUNTIF(AD4:AD11,"&lt;&gt;0")))</f>
        <v>5.7490467691416247E-2</v>
      </c>
      <c r="AF24" s="14" t="str">
        <f t="shared" si="39"/>
        <v>29 ½</v>
      </c>
      <c r="AG24" s="5">
        <f t="shared" si="40"/>
        <v>0.63050499999999998</v>
      </c>
      <c r="AH24" s="5">
        <f t="shared" si="41"/>
        <v>0.60453996914522401</v>
      </c>
      <c r="AI24" s="5">
        <f t="shared" si="42"/>
        <v>0.57907359898931532</v>
      </c>
      <c r="AJ24" s="5">
        <f t="shared" si="43"/>
        <v>3.2260371852576513</v>
      </c>
      <c r="AK24" s="5">
        <f t="shared" si="44"/>
        <v>0.2639389772455496</v>
      </c>
      <c r="AL24" s="5">
        <f>IF(I8=1,5/AI24*SUM(H$5:H8),"")</f>
        <v>4.6537506124710566</v>
      </c>
      <c r="AM24" s="5"/>
      <c r="AO24" s="24" t="s">
        <v>120</v>
      </c>
      <c r="BA24" s="14">
        <v>20.5</v>
      </c>
      <c r="BB24" s="3">
        <v>-0.61227500000000001</v>
      </c>
      <c r="BE24" s="3">
        <f t="shared" si="19"/>
        <v>0.15808488450458288</v>
      </c>
      <c r="BH24" s="3">
        <f t="shared" si="22"/>
        <v>6.6389140212678707E-2</v>
      </c>
    </row>
    <row r="25" spans="1:60" ht="18.75" customHeight="1" thickBot="1" x14ac:dyDescent="0.35">
      <c r="A25" s="7"/>
      <c r="B25" s="7"/>
      <c r="C25" s="7"/>
      <c r="D25" s="7"/>
      <c r="E25" s="4"/>
      <c r="F25" s="4"/>
      <c r="J25" s="4"/>
      <c r="K25" s="4"/>
      <c r="L25" s="4"/>
      <c r="M25" s="4"/>
      <c r="N25" s="4"/>
      <c r="O25" s="4"/>
      <c r="AF25" s="14" t="str">
        <f t="shared" si="39"/>
        <v>34 ½</v>
      </c>
      <c r="AG25" s="5">
        <f t="shared" si="40"/>
        <v>1.3924950000000003</v>
      </c>
      <c r="AH25" s="5">
        <f t="shared" si="41"/>
        <v>1.3697446412216734</v>
      </c>
      <c r="AI25" s="5">
        <f t="shared" si="42"/>
        <v>0.77555850599224618</v>
      </c>
      <c r="AJ25" s="5">
        <f t="shared" si="43"/>
        <v>4.3206607658174727</v>
      </c>
      <c r="AK25" s="5">
        <f t="shared" si="44"/>
        <v>0.21892471611196429</v>
      </c>
      <c r="AL25" s="5">
        <f>IF(I9=1,5/AI25*SUM(H$5:H9),"")</f>
        <v>4.6467728292739903</v>
      </c>
      <c r="AM25" s="5"/>
      <c r="AO25" s="33" t="s">
        <v>121</v>
      </c>
      <c r="AP25" s="33" t="s">
        <v>31</v>
      </c>
      <c r="AQ25" s="33" t="s">
        <v>32</v>
      </c>
      <c r="AR25" s="33" t="s">
        <v>33</v>
      </c>
      <c r="AS25" s="33" t="s">
        <v>49</v>
      </c>
      <c r="AT25" s="33" t="s">
        <v>50</v>
      </c>
      <c r="AU25" s="33" t="s">
        <v>51</v>
      </c>
      <c r="AV25" s="33" t="s">
        <v>52</v>
      </c>
      <c r="AW25" s="33" t="s">
        <v>34</v>
      </c>
      <c r="AX25" s="33" t="s">
        <v>35</v>
      </c>
      <c r="AY25" s="8"/>
      <c r="BA25" s="14">
        <v>21</v>
      </c>
      <c r="BB25" s="3">
        <v>-0.53325</v>
      </c>
      <c r="BE25" s="3">
        <f t="shared" si="19"/>
        <v>0.18187005674477622</v>
      </c>
      <c r="BH25" s="3">
        <f t="shared" si="22"/>
        <v>8.2487349991762063E-2</v>
      </c>
    </row>
    <row r="26" spans="1:60" ht="18.75" customHeight="1" x14ac:dyDescent="0.3">
      <c r="J26" s="4"/>
      <c r="K26" s="4"/>
      <c r="L26" s="4"/>
      <c r="M26" s="4"/>
      <c r="N26" s="4"/>
      <c r="AF26" s="14" t="str">
        <f t="shared" si="39"/>
        <v>39 ½</v>
      </c>
      <c r="AG26" s="5">
        <f t="shared" si="40"/>
        <v>2.4829699999999999</v>
      </c>
      <c r="AH26" s="5">
        <f t="shared" si="41"/>
        <v>2.4648201209294989</v>
      </c>
      <c r="AI26" s="5">
        <f t="shared" si="42"/>
        <v>0.91849011632113997</v>
      </c>
      <c r="AJ26" s="5">
        <f t="shared" si="43"/>
        <v>5.1169372506624944</v>
      </c>
      <c r="AK26" s="5">
        <f t="shared" si="44"/>
        <v>0.15925529696900434</v>
      </c>
      <c r="AL26" s="5">
        <f>IF(I10=1,5/AI26*SUM(H$5:H10),"")</f>
        <v>4.6454262031479425</v>
      </c>
      <c r="AM26" s="5"/>
      <c r="AO26" s="35" t="str">
        <f>"10-14"</f>
        <v>10-14</v>
      </c>
      <c r="AP26" s="25">
        <v>0</v>
      </c>
      <c r="AQ26" s="26">
        <f>AV40</f>
        <v>3.4388210159756218E-4</v>
      </c>
      <c r="AR26" s="26">
        <f>-LN(-LN(AQ26))</f>
        <v>-2.0763381921743722</v>
      </c>
      <c r="AS26" s="26">
        <f>AQ26/AQ27</f>
        <v>6.592186170716322E-3</v>
      </c>
      <c r="AT26" s="26">
        <f>-LN(-LN(AS26))</f>
        <v>-1.6138024230572872</v>
      </c>
      <c r="AU26" s="26">
        <f t="shared" ref="AU26:AU33" si="45">((AR27*EXP(-AR27))-(AR26*EXP(-AR26)))/LN(AS26)</f>
        <v>-2.6605532578841791</v>
      </c>
      <c r="AV26" s="26"/>
      <c r="AW26" s="26">
        <f>AT26-AU26</f>
        <v>1.0467508348268919</v>
      </c>
      <c r="AX26" s="9">
        <f>AU26</f>
        <v>-2.6605532578841791</v>
      </c>
      <c r="AY26" s="9"/>
      <c r="BA26" s="14">
        <v>21.5</v>
      </c>
      <c r="BB26" s="3">
        <v>-0.45924500000000001</v>
      </c>
      <c r="BE26" s="3">
        <f t="shared" si="19"/>
        <v>0.20538305950886043</v>
      </c>
      <c r="BH26" s="3">
        <f t="shared" si="22"/>
        <v>0.10029567399642535</v>
      </c>
    </row>
    <row r="27" spans="1:60" ht="18.75" customHeight="1" x14ac:dyDescent="0.3">
      <c r="K27" s="5"/>
      <c r="L27" s="5"/>
      <c r="R27" s="15" t="s">
        <v>110</v>
      </c>
      <c r="S27" s="15"/>
      <c r="T27" s="15"/>
      <c r="AF27" s="14" t="str">
        <f t="shared" si="39"/>
        <v>44 ½</v>
      </c>
      <c r="AG27" s="5">
        <f t="shared" si="40"/>
        <v>4.5323450000000012</v>
      </c>
      <c r="AH27" s="5">
        <f t="shared" si="41"/>
        <v>4.5228409936924923</v>
      </c>
      <c r="AI27" s="5">
        <f t="shared" si="42"/>
        <v>0.98920060480841765</v>
      </c>
      <c r="AJ27" s="5">
        <f t="shared" si="43"/>
        <v>5.5108676001825385</v>
      </c>
      <c r="AK27" s="5">
        <f t="shared" si="44"/>
        <v>7.8786069904008826E-2</v>
      </c>
      <c r="AL27" s="5">
        <f>IF(I11=1,5/AI27*SUM(H$5:H11),"")</f>
        <v>4.6536978316646236</v>
      </c>
      <c r="AM27" s="5"/>
      <c r="AO27" s="35" t="s">
        <v>0</v>
      </c>
      <c r="AP27" s="25">
        <v>1</v>
      </c>
      <c r="AQ27" s="26">
        <f t="shared" ref="AQ27:AQ33" si="46">AV41</f>
        <v>5.2165107703594352E-2</v>
      </c>
      <c r="AR27" s="26">
        <f t="shared" ref="AR27:AR33" si="47">-LN(-LN(AQ27))</f>
        <v>-1.0829372216762827</v>
      </c>
      <c r="AS27" s="26">
        <f t="shared" ref="AS27:AS33" si="48">AQ27/AQ28</f>
        <v>0.20461105460516266</v>
      </c>
      <c r="AT27" s="26">
        <f t="shared" ref="AT27:AT33" si="49">-LN(-LN(AS27))</f>
        <v>-0.46162134371785124</v>
      </c>
      <c r="AU27" s="26">
        <f t="shared" si="45"/>
        <v>-1.746661976392049</v>
      </c>
      <c r="AV27" s="26">
        <f>(AU27^2)+(AR27^2*EXP(-AR27)-AR28^2*EXP(-AR28))/LN(AS27)</f>
        <v>0.95195722711393538</v>
      </c>
      <c r="AW27" s="26">
        <f t="shared" ref="AW27:AW33" si="50">AT27-AU27</f>
        <v>1.2850406326741979</v>
      </c>
      <c r="AX27" s="9">
        <f t="shared" ref="AX27:AX33" si="51">AU27</f>
        <v>-1.746661976392049</v>
      </c>
      <c r="AY27" s="9"/>
      <c r="BA27" s="14">
        <v>22</v>
      </c>
      <c r="BB27" s="3">
        <v>-0.38524000000000003</v>
      </c>
      <c r="BE27" s="3">
        <f t="shared" si="19"/>
        <v>0.22993305648018619</v>
      </c>
      <c r="BH27" s="3">
        <f t="shared" si="22"/>
        <v>0.11956991366115642</v>
      </c>
    </row>
    <row r="28" spans="1:60" ht="18.75" customHeight="1" x14ac:dyDescent="0.3">
      <c r="K28" s="5"/>
      <c r="L28" s="5"/>
      <c r="R28" s="16"/>
      <c r="S28" s="16" t="s">
        <v>7</v>
      </c>
      <c r="T28" s="16" t="s">
        <v>63</v>
      </c>
      <c r="AF28" s="16" t="str">
        <f t="shared" si="39"/>
        <v>49 ½</v>
      </c>
      <c r="AG28" s="19">
        <f t="shared" si="40"/>
        <v>13.81551005793531</v>
      </c>
      <c r="AH28" s="19">
        <f t="shared" si="41"/>
        <v>13.84516973027557</v>
      </c>
      <c r="AI28" s="19">
        <f t="shared" si="42"/>
        <v>0.99999902922412653</v>
      </c>
      <c r="AJ28" s="19">
        <f t="shared" si="43"/>
        <v>5.5710259613443531</v>
      </c>
      <c r="AK28" s="19">
        <f t="shared" si="44"/>
        <v>1.2031672232362923E-2</v>
      </c>
      <c r="AL28" s="19" t="str">
        <f>IF(I12=1,5/AI28*SUM(H$5:H12),"")</f>
        <v/>
      </c>
      <c r="AM28" s="19"/>
      <c r="AO28" s="35" t="s">
        <v>1</v>
      </c>
      <c r="AP28" s="25">
        <v>2</v>
      </c>
      <c r="AQ28" s="26">
        <f t="shared" si="46"/>
        <v>0.25494765082100379</v>
      </c>
      <c r="AR28" s="26">
        <f t="shared" si="47"/>
        <v>-0.31239691342690196</v>
      </c>
      <c r="AS28" s="26">
        <f t="shared" si="48"/>
        <v>0.51432081242046368</v>
      </c>
      <c r="AT28" s="26">
        <f t="shared" si="49"/>
        <v>0.40810650420215816</v>
      </c>
      <c r="AU28" s="26">
        <f t="shared" si="45"/>
        <v>-1.0158866417223078</v>
      </c>
      <c r="AV28" s="26">
        <f>(AU28^2)+(AR28^2*EXP(-AR28)-AR29^2*EXP(-AR29))/LN(AS28)</f>
        <v>0.96378736557860156</v>
      </c>
      <c r="AW28" s="26">
        <f t="shared" si="50"/>
        <v>1.4239931459244659</v>
      </c>
      <c r="AX28" s="9">
        <f t="shared" si="51"/>
        <v>-1.0158866417223078</v>
      </c>
      <c r="AY28" s="9"/>
      <c r="BA28" s="14">
        <v>22.5</v>
      </c>
      <c r="BB28" s="3">
        <v>-0.31473499999999999</v>
      </c>
      <c r="BE28" s="3">
        <f t="shared" si="19"/>
        <v>0.25413332697026197</v>
      </c>
      <c r="BH28" s="3">
        <f t="shared" si="22"/>
        <v>0.14011135678927106</v>
      </c>
    </row>
    <row r="29" spans="1:60" ht="18.75" customHeight="1" x14ac:dyDescent="0.3">
      <c r="R29" s="14">
        <v>9</v>
      </c>
      <c r="S29" s="5"/>
      <c r="T29" s="5"/>
      <c r="AF29" s="2"/>
      <c r="AG29" s="10"/>
      <c r="AH29" s="10"/>
      <c r="AI29" s="10"/>
      <c r="AJ29" s="10"/>
      <c r="AK29" s="10"/>
      <c r="AL29" s="10">
        <f>AVERAGE(AL21:AL28)</f>
        <v>4.6472363915673141</v>
      </c>
      <c r="AM29" s="10" t="s">
        <v>53</v>
      </c>
      <c r="AO29" s="35" t="s">
        <v>2</v>
      </c>
      <c r="AP29" s="25">
        <v>3</v>
      </c>
      <c r="AQ29" s="26">
        <f t="shared" si="46"/>
        <v>0.49569771369193766</v>
      </c>
      <c r="AR29" s="26">
        <f t="shared" si="47"/>
        <v>0.35412250953269508</v>
      </c>
      <c r="AS29" s="26">
        <f t="shared" si="48"/>
        <v>0.70144871899951622</v>
      </c>
      <c r="AT29" s="26">
        <f t="shared" si="49"/>
        <v>1.0367437799899193</v>
      </c>
      <c r="AU29" s="26">
        <f t="shared" si="45"/>
        <v>-0.33492430178104132</v>
      </c>
      <c r="AV29" s="26">
        <f>(AU29^2)+(AR29^2*EXP(-AR29)-AR30^2*EXP(-AR30))/LN(AS29)</f>
        <v>0.9597263631556282</v>
      </c>
      <c r="AW29" s="26">
        <f t="shared" si="50"/>
        <v>1.3716680817709606</v>
      </c>
      <c r="AX29" s="9">
        <f t="shared" si="51"/>
        <v>-0.33492430178104132</v>
      </c>
      <c r="AY29" s="9"/>
      <c r="BA29" s="14">
        <v>23</v>
      </c>
      <c r="BB29" s="3">
        <v>-0.24423</v>
      </c>
      <c r="BE29" s="3">
        <f t="shared" si="19"/>
        <v>0.27897365630982895</v>
      </c>
      <c r="BH29" s="3">
        <f t="shared" si="22"/>
        <v>0.16171299632016267</v>
      </c>
    </row>
    <row r="30" spans="1:60" ht="18.75" customHeight="1" x14ac:dyDescent="0.3">
      <c r="R30" s="14">
        <v>9.5</v>
      </c>
      <c r="S30" s="5"/>
      <c r="T30" s="5"/>
      <c r="AO30" s="35" t="s">
        <v>3</v>
      </c>
      <c r="AP30" s="25">
        <v>4</v>
      </c>
      <c r="AQ30" s="26">
        <f t="shared" si="46"/>
        <v>0.70667705316927032</v>
      </c>
      <c r="AR30" s="26">
        <f t="shared" si="47"/>
        <v>1.0579075746568081</v>
      </c>
      <c r="AS30" s="26">
        <f t="shared" si="48"/>
        <v>0.81402231912488943</v>
      </c>
      <c r="AT30" s="26">
        <f t="shared" si="49"/>
        <v>1.5810084161469662</v>
      </c>
      <c r="AU30" s="26">
        <f t="shared" si="45"/>
        <v>0.44064864091055989</v>
      </c>
      <c r="AV30" s="26"/>
      <c r="AW30" s="26">
        <f t="shared" si="50"/>
        <v>1.1403597752364063</v>
      </c>
      <c r="AX30" s="9">
        <f t="shared" si="51"/>
        <v>0.44064864091055989</v>
      </c>
      <c r="AY30" s="9"/>
      <c r="BA30" s="14">
        <v>23.5</v>
      </c>
      <c r="BB30" s="3">
        <v>-0.17602999999999999</v>
      </c>
      <c r="BE30" s="3">
        <f t="shared" si="19"/>
        <v>0.30346960179502924</v>
      </c>
      <c r="BH30" s="3">
        <f t="shared" si="22"/>
        <v>0.18417466051876563</v>
      </c>
    </row>
    <row r="31" spans="1:60" ht="18.75" customHeight="1" x14ac:dyDescent="0.3">
      <c r="R31" s="14">
        <v>10</v>
      </c>
      <c r="S31" s="5" t="e">
        <f t="shared" ref="S31:S62" si="52">AL$52*EXP(-EXP(-($N$4+$N$5*BB3)))</f>
        <v>#NUM!</v>
      </c>
      <c r="T31" s="5"/>
      <c r="AF31" s="23" t="s">
        <v>112</v>
      </c>
      <c r="AG31" s="23" t="s">
        <v>113</v>
      </c>
      <c r="AH31" s="23"/>
      <c r="AI31" s="23"/>
      <c r="AJ31" s="23"/>
      <c r="AK31" s="23"/>
      <c r="AL31" s="23"/>
      <c r="AO31" s="35" t="s">
        <v>4</v>
      </c>
      <c r="AP31" s="25">
        <v>5</v>
      </c>
      <c r="AQ31" s="26">
        <f t="shared" si="46"/>
        <v>0.8681298246576088</v>
      </c>
      <c r="AR31" s="26">
        <f t="shared" si="47"/>
        <v>1.9560634644574093</v>
      </c>
      <c r="AS31" s="26">
        <f t="shared" si="48"/>
        <v>0.89692470531615764</v>
      </c>
      <c r="AT31" s="26">
        <f t="shared" si="49"/>
        <v>2.218396888165092</v>
      </c>
      <c r="AU31" s="26">
        <f t="shared" si="45"/>
        <v>1.5161902940480383</v>
      </c>
      <c r="AV31" s="26"/>
      <c r="AW31" s="26">
        <f t="shared" si="50"/>
        <v>0.70220659411705366</v>
      </c>
      <c r="AX31" s="9">
        <f t="shared" si="51"/>
        <v>1.5161902940480383</v>
      </c>
      <c r="AY31" s="9"/>
      <c r="BA31" s="14">
        <v>24</v>
      </c>
      <c r="BB31" s="3">
        <v>-0.10783</v>
      </c>
      <c r="BE31" s="3">
        <f t="shared" si="19"/>
        <v>0.32828984948459988</v>
      </c>
      <c r="BH31" s="3">
        <f t="shared" si="22"/>
        <v>0.20730100959664136</v>
      </c>
    </row>
    <row r="32" spans="1:60" ht="18.75" customHeight="1" x14ac:dyDescent="0.3">
      <c r="R32" s="14">
        <v>10.5</v>
      </c>
      <c r="S32" s="5" t="e">
        <f t="shared" si="52"/>
        <v>#NUM!</v>
      </c>
      <c r="T32" s="5"/>
      <c r="AF32" s="20" t="s">
        <v>39</v>
      </c>
      <c r="AG32" s="20" t="s">
        <v>14</v>
      </c>
      <c r="AH32" s="20" t="s">
        <v>108</v>
      </c>
      <c r="AI32" s="20" t="s">
        <v>13</v>
      </c>
      <c r="AJ32" s="20" t="s">
        <v>15</v>
      </c>
      <c r="AK32" s="20" t="s">
        <v>16</v>
      </c>
      <c r="AL32" s="20"/>
      <c r="AO32" s="35" t="s">
        <v>5</v>
      </c>
      <c r="AP32" s="25">
        <v>6</v>
      </c>
      <c r="AQ32" s="26">
        <f t="shared" si="46"/>
        <v>0.9678959889410127</v>
      </c>
      <c r="AR32" s="26">
        <f t="shared" si="47"/>
        <v>3.4225033426535072</v>
      </c>
      <c r="AS32" s="26">
        <f t="shared" si="48"/>
        <v>0.97008626061230185</v>
      </c>
      <c r="AT32" s="26">
        <f t="shared" si="49"/>
        <v>3.4942906824730033</v>
      </c>
      <c r="AU32" s="26">
        <f t="shared" si="45"/>
        <v>3.2238040870214846</v>
      </c>
      <c r="AV32" s="26"/>
      <c r="AW32" s="26">
        <f t="shared" si="50"/>
        <v>0.27048659545151876</v>
      </c>
      <c r="AX32" s="9">
        <f t="shared" si="51"/>
        <v>3.2238040870214846</v>
      </c>
      <c r="AY32" s="9"/>
      <c r="BA32" s="14">
        <v>24.5</v>
      </c>
      <c r="BB32" s="3">
        <v>-4.1095E-2</v>
      </c>
      <c r="BE32" s="3">
        <f t="shared" si="19"/>
        <v>0.35276573372478942</v>
      </c>
      <c r="BH32" s="3">
        <f t="shared" si="22"/>
        <v>0.23093758060071812</v>
      </c>
    </row>
    <row r="33" spans="4:60" ht="18.75" customHeight="1" x14ac:dyDescent="0.3">
      <c r="D33" s="4"/>
      <c r="E33" s="4"/>
      <c r="F33" s="4"/>
      <c r="G33" s="4"/>
      <c r="H33" s="4"/>
      <c r="I33" s="4"/>
      <c r="J33" s="4"/>
      <c r="R33" s="14">
        <v>11</v>
      </c>
      <c r="S33" s="5">
        <f t="shared" si="52"/>
        <v>8.9769357930233178E-11</v>
      </c>
      <c r="T33" s="5" t="e">
        <f>(S34-S32)/2</f>
        <v>#NUM!</v>
      </c>
      <c r="AF33" s="14">
        <v>15</v>
      </c>
      <c r="AG33" s="5">
        <f t="shared" ref="AG33:AG40" si="53">AQ15</f>
        <v>-1.7521</v>
      </c>
      <c r="AH33" s="5">
        <f t="shared" ref="AH33:AH40" si="54">AK$17+AG33*AK$15</f>
        <v>-1.7881167293845575</v>
      </c>
      <c r="AI33" s="5">
        <f t="shared" ref="AI33:AI40" si="55">EXP(-EXP(-AH33))</f>
        <v>2.5334245325727297E-3</v>
      </c>
      <c r="AJ33" s="5">
        <f t="shared" ref="AJ33:AJ40" si="56">AI33*AL$52</f>
        <v>1.4113787543393789E-2</v>
      </c>
      <c r="AK33" s="5">
        <f>AJ33/5</f>
        <v>2.8227575086787579E-3</v>
      </c>
      <c r="AO33" s="35" t="s">
        <v>6</v>
      </c>
      <c r="AP33" s="29">
        <v>7</v>
      </c>
      <c r="AQ33" s="26">
        <f t="shared" si="46"/>
        <v>0.99774218875143461</v>
      </c>
      <c r="AR33" s="26">
        <f t="shared" si="47"/>
        <v>6.0922294399695751</v>
      </c>
      <c r="AS33" s="30">
        <f t="shared" si="48"/>
        <v>0.99774218875143461</v>
      </c>
      <c r="AT33" s="26">
        <f t="shared" si="49"/>
        <v>6.0922294399695751</v>
      </c>
      <c r="AU33" s="26">
        <f t="shared" si="45"/>
        <v>6.0922294399695742</v>
      </c>
      <c r="AV33" s="30"/>
      <c r="AW33" s="26">
        <f t="shared" si="50"/>
        <v>0</v>
      </c>
      <c r="AX33" s="9">
        <f t="shared" si="51"/>
        <v>6.0922294399695742</v>
      </c>
      <c r="AY33" s="9"/>
      <c r="BA33" s="14">
        <v>25</v>
      </c>
      <c r="BB33" s="3">
        <v>2.564E-2</v>
      </c>
      <c r="BE33" s="3">
        <f t="shared" si="19"/>
        <v>0.37731084323953967</v>
      </c>
      <c r="BH33" s="3">
        <f t="shared" si="22"/>
        <v>0.25494765082100379</v>
      </c>
    </row>
    <row r="34" spans="4:60" ht="18.75" customHeight="1" thickBot="1" x14ac:dyDescent="0.35">
      <c r="D34" s="4"/>
      <c r="E34" s="4"/>
      <c r="F34" s="4"/>
      <c r="G34" s="91"/>
      <c r="H34" s="92"/>
      <c r="I34" s="4"/>
      <c r="J34" s="4"/>
      <c r="R34" s="14">
        <v>11.5</v>
      </c>
      <c r="S34" s="5">
        <f t="shared" si="52"/>
        <v>1.1010743022427164E-8</v>
      </c>
      <c r="T34" s="5">
        <f t="shared" ref="T34:T97" si="57">(S35-S33)/2</f>
        <v>2.6618676013904949E-7</v>
      </c>
      <c r="AF34" s="14">
        <v>20</v>
      </c>
      <c r="AG34" s="5">
        <f t="shared" si="53"/>
        <v>-0.69130000000000003</v>
      </c>
      <c r="AH34" s="5">
        <f t="shared" si="54"/>
        <v>-0.72284144212527945</v>
      </c>
      <c r="AI34" s="5">
        <f t="shared" si="55"/>
        <v>0.12741840690142847</v>
      </c>
      <c r="AJ34" s="5">
        <f t="shared" si="56"/>
        <v>0.70985194190813539</v>
      </c>
      <c r="AK34" s="5">
        <f t="shared" ref="AK34:AK40" si="58">(AJ34-AJ33)/5</f>
        <v>0.13914763087294832</v>
      </c>
      <c r="AO34" s="36" t="s">
        <v>56</v>
      </c>
      <c r="AP34" s="31">
        <v>8</v>
      </c>
      <c r="AQ34" s="31">
        <f>AV48</f>
        <v>1</v>
      </c>
      <c r="AR34" s="32">
        <v>999999999</v>
      </c>
      <c r="AS34" s="27"/>
      <c r="AT34" s="27"/>
      <c r="AU34" s="27"/>
      <c r="AV34" s="27"/>
      <c r="AW34" s="27"/>
      <c r="AX34" s="11"/>
      <c r="AY34" s="12"/>
      <c r="BA34" s="14">
        <v>25.5</v>
      </c>
      <c r="BB34" s="3">
        <v>9.2085E-2</v>
      </c>
      <c r="BE34" s="3">
        <f t="shared" si="19"/>
        <v>0.40170888317738856</v>
      </c>
      <c r="BH34" s="3">
        <f t="shared" si="22"/>
        <v>0.27920260680988579</v>
      </c>
    </row>
    <row r="35" spans="4:60" ht="18.75" customHeight="1" x14ac:dyDescent="0.3">
      <c r="D35" s="4"/>
      <c r="E35" s="4"/>
      <c r="F35" s="4"/>
      <c r="G35" s="91"/>
      <c r="H35" s="92"/>
      <c r="I35" s="4"/>
      <c r="J35" s="4"/>
      <c r="R35" s="14">
        <v>12</v>
      </c>
      <c r="S35" s="5">
        <f t="shared" si="52"/>
        <v>5.3246328963602922E-7</v>
      </c>
      <c r="T35" s="5">
        <f t="shared" si="57"/>
        <v>4.2321440496375436E-6</v>
      </c>
      <c r="AF35" s="14">
        <v>25</v>
      </c>
      <c r="AG35" s="5">
        <f t="shared" si="53"/>
        <v>2.5640000000000027E-2</v>
      </c>
      <c r="AH35" s="5">
        <f t="shared" si="54"/>
        <v>-2.876826318655306E-3</v>
      </c>
      <c r="AI35" s="5">
        <f t="shared" si="55"/>
        <v>0.36682111737384304</v>
      </c>
      <c r="AJ35" s="5">
        <f t="shared" si="56"/>
        <v>2.0435719519093705</v>
      </c>
      <c r="AK35" s="5">
        <f t="shared" si="58"/>
        <v>0.266744002000247</v>
      </c>
      <c r="AU35" s="93"/>
      <c r="AV35" s="38">
        <f>AVERAGE(AV27:AV29)</f>
        <v>0.95849031861605505</v>
      </c>
      <c r="BA35" s="14">
        <v>26</v>
      </c>
      <c r="BB35" s="3">
        <v>0.15853</v>
      </c>
      <c r="BE35" s="3">
        <f t="shared" si="19"/>
        <v>0.42596531275486749</v>
      </c>
      <c r="BH35" s="3">
        <f t="shared" si="22"/>
        <v>0.30358856954403063</v>
      </c>
    </row>
    <row r="36" spans="4:60" ht="18.75" customHeight="1" x14ac:dyDescent="0.3">
      <c r="D36" s="4"/>
      <c r="E36" s="4"/>
      <c r="F36" s="4"/>
      <c r="G36" s="91"/>
      <c r="H36" s="92"/>
      <c r="I36" s="4"/>
      <c r="J36" s="4"/>
      <c r="R36" s="14">
        <v>12.5</v>
      </c>
      <c r="S36" s="5">
        <f t="shared" si="52"/>
        <v>8.4752988422975142E-6</v>
      </c>
      <c r="T36" s="5">
        <f t="shared" si="57"/>
        <v>4.1730313889088856E-5</v>
      </c>
      <c r="AF36" s="14">
        <v>30</v>
      </c>
      <c r="AG36" s="5">
        <f t="shared" si="53"/>
        <v>0.7</v>
      </c>
      <c r="AH36" s="5">
        <f t="shared" si="54"/>
        <v>0.67432815361739928</v>
      </c>
      <c r="AI36" s="5">
        <f t="shared" si="55"/>
        <v>0.60079673651653609</v>
      </c>
      <c r="AJ36" s="5">
        <f t="shared" si="56"/>
        <v>3.3470574658672203</v>
      </c>
      <c r="AK36" s="5">
        <f t="shared" si="58"/>
        <v>0.26069710279156999</v>
      </c>
      <c r="BA36" s="14">
        <v>26.5</v>
      </c>
      <c r="BB36" s="3">
        <v>0.22500000000000001</v>
      </c>
      <c r="BE36" s="3">
        <f t="shared" si="19"/>
        <v>0.44999616487262006</v>
      </c>
      <c r="BH36" s="3">
        <f t="shared" si="22"/>
        <v>0.32802398761272317</v>
      </c>
    </row>
    <row r="37" spans="4:60" ht="18.75" customHeight="1" thickBot="1" x14ac:dyDescent="0.35">
      <c r="D37" s="4"/>
      <c r="E37" s="4"/>
      <c r="F37" s="4"/>
      <c r="G37" s="91"/>
      <c r="H37" s="92"/>
      <c r="I37" s="4"/>
      <c r="J37" s="4"/>
      <c r="R37" s="14">
        <v>13</v>
      </c>
      <c r="S37" s="5">
        <f t="shared" si="52"/>
        <v>8.3993091067813738E-5</v>
      </c>
      <c r="T37" s="5">
        <f t="shared" si="57"/>
        <v>2.2214859275662205E-4</v>
      </c>
      <c r="AF37" s="14">
        <v>35</v>
      </c>
      <c r="AG37" s="5">
        <f t="shared" si="53"/>
        <v>1.47872</v>
      </c>
      <c r="AH37" s="5">
        <f t="shared" si="54"/>
        <v>1.456333405968969</v>
      </c>
      <c r="AI37" s="5">
        <f t="shared" si="55"/>
        <v>0.79208279470690024</v>
      </c>
      <c r="AJ37" s="5">
        <f t="shared" si="56"/>
        <v>4.4127180966065955</v>
      </c>
      <c r="AK37" s="5">
        <f t="shared" si="58"/>
        <v>0.21313212614787505</v>
      </c>
      <c r="AO37" s="24" t="s">
        <v>122</v>
      </c>
      <c r="BA37" s="14">
        <v>27</v>
      </c>
      <c r="BB37" s="3">
        <v>0.29147000000000001</v>
      </c>
      <c r="BE37" s="3">
        <f t="shared" si="19"/>
        <v>0.47370788283757637</v>
      </c>
      <c r="BH37" s="3">
        <f t="shared" si="22"/>
        <v>0.35244338419878068</v>
      </c>
    </row>
    <row r="38" spans="4:60" ht="18.75" customHeight="1" x14ac:dyDescent="0.3">
      <c r="D38" s="4"/>
      <c r="E38" s="4"/>
      <c r="F38" s="4"/>
      <c r="G38" s="91"/>
      <c r="H38" s="92"/>
      <c r="I38" s="4"/>
      <c r="J38" s="4"/>
      <c r="R38" s="14">
        <v>13.5</v>
      </c>
      <c r="S38" s="5">
        <f t="shared" si="52"/>
        <v>4.5277248435554162E-4</v>
      </c>
      <c r="T38" s="5">
        <f t="shared" si="57"/>
        <v>9.0308449642855708E-4</v>
      </c>
      <c r="AF38" s="14">
        <v>40</v>
      </c>
      <c r="AG38" s="5">
        <f t="shared" si="53"/>
        <v>2.6260200000000005</v>
      </c>
      <c r="AH38" s="5">
        <f t="shared" si="54"/>
        <v>2.6084736181414523</v>
      </c>
      <c r="AI38" s="5">
        <f t="shared" si="55"/>
        <v>0.92899969241385993</v>
      </c>
      <c r="AJ38" s="5">
        <f t="shared" si="56"/>
        <v>5.1754864287558906</v>
      </c>
      <c r="AK38" s="5">
        <f t="shared" si="58"/>
        <v>0.15255366642985901</v>
      </c>
      <c r="AO38" s="120" t="s">
        <v>123</v>
      </c>
      <c r="AP38" s="120"/>
      <c r="AQ38" s="120"/>
      <c r="AR38" s="120" t="s">
        <v>124</v>
      </c>
      <c r="AS38" s="120"/>
      <c r="AT38" s="120"/>
      <c r="AU38" s="120" t="s">
        <v>45</v>
      </c>
      <c r="AV38" s="120"/>
      <c r="AW38" s="120"/>
      <c r="BA38" s="14">
        <v>27.5</v>
      </c>
      <c r="BB38" s="3">
        <v>0.35831000000000002</v>
      </c>
      <c r="BE38" s="3">
        <f t="shared" si="19"/>
        <v>0.49715352560929127</v>
      </c>
      <c r="BH38" s="3">
        <f t="shared" si="22"/>
        <v>0.37678313544860165</v>
      </c>
    </row>
    <row r="39" spans="4:60" ht="18.75" customHeight="1" thickBot="1" x14ac:dyDescent="0.35">
      <c r="D39" s="4"/>
      <c r="E39" s="4"/>
      <c r="F39" s="4"/>
      <c r="G39" s="91"/>
      <c r="H39" s="92"/>
      <c r="I39" s="4"/>
      <c r="J39" s="4"/>
      <c r="R39" s="14">
        <v>14</v>
      </c>
      <c r="S39" s="5">
        <f t="shared" si="52"/>
        <v>1.8901620839249279E-3</v>
      </c>
      <c r="T39" s="5">
        <f t="shared" si="57"/>
        <v>2.550943647230752E-3</v>
      </c>
      <c r="AF39" s="14">
        <v>45</v>
      </c>
      <c r="AG39" s="5">
        <f t="shared" si="53"/>
        <v>4.8097000000000021</v>
      </c>
      <c r="AH39" s="5">
        <f t="shared" si="54"/>
        <v>4.8013660948404926</v>
      </c>
      <c r="AI39" s="5">
        <f t="shared" si="55"/>
        <v>0.99181516753219712</v>
      </c>
      <c r="AJ39" s="5">
        <f t="shared" si="56"/>
        <v>5.525433411134415</v>
      </c>
      <c r="AK39" s="5">
        <f t="shared" si="58"/>
        <v>6.9989396475704874E-2</v>
      </c>
      <c r="AO39" s="37"/>
      <c r="AP39" s="37" t="s">
        <v>59</v>
      </c>
      <c r="AQ39" s="37"/>
      <c r="AR39" s="37"/>
      <c r="AS39" s="37" t="s">
        <v>59</v>
      </c>
      <c r="AT39" s="37"/>
      <c r="AU39" s="37"/>
      <c r="AV39" s="37" t="s">
        <v>59</v>
      </c>
      <c r="AW39" s="37"/>
      <c r="BA39" s="14">
        <v>28</v>
      </c>
      <c r="BB39" s="3">
        <v>0.42514999999999997</v>
      </c>
      <c r="BE39" s="3">
        <f t="shared" si="19"/>
        <v>0.52013248187634886</v>
      </c>
      <c r="BH39" s="3">
        <f t="shared" si="22"/>
        <v>0.40099208665887903</v>
      </c>
    </row>
    <row r="40" spans="4:60" ht="18.75" customHeight="1" x14ac:dyDescent="0.3">
      <c r="D40" s="4"/>
      <c r="E40" s="4"/>
      <c r="F40" s="4"/>
      <c r="G40" s="91"/>
      <c r="H40" s="92"/>
      <c r="I40" s="4"/>
      <c r="J40" s="4"/>
      <c r="R40" s="14">
        <v>14.5</v>
      </c>
      <c r="S40" s="5">
        <f t="shared" si="52"/>
        <v>5.5546597788170456E-3</v>
      </c>
      <c r="T40" s="5">
        <f t="shared" si="57"/>
        <v>6.1118127297344303E-3</v>
      </c>
      <c r="AF40" s="16">
        <v>50</v>
      </c>
      <c r="AG40" s="19">
        <f t="shared" si="53"/>
        <v>13.81551005793531</v>
      </c>
      <c r="AH40" s="19">
        <f t="shared" si="54"/>
        <v>13.84516973027557</v>
      </c>
      <c r="AI40" s="19">
        <f t="shared" si="55"/>
        <v>0.99999902922412653</v>
      </c>
      <c r="AJ40" s="19">
        <f t="shared" si="56"/>
        <v>5.5710259613443531</v>
      </c>
      <c r="AK40" s="19">
        <f t="shared" si="58"/>
        <v>9.1185100419876267E-3</v>
      </c>
      <c r="AL40" s="18"/>
      <c r="AO40" s="34">
        <v>14.5</v>
      </c>
      <c r="AP40" s="38">
        <f t="shared" ref="AP40:AP47" si="59">VLOOKUP($AO40,$BA$3:$BI$90,5)</f>
        <v>1.2783714883985553E-3</v>
      </c>
      <c r="AQ40" s="38"/>
      <c r="AR40" s="94">
        <v>15</v>
      </c>
      <c r="AS40" s="38">
        <f t="shared" ref="AS40:AS48" si="60">VLOOKUP($AR40,$BA$3:$BI$90,5)</f>
        <v>3.1300695963830103E-3</v>
      </c>
      <c r="AT40" s="38"/>
      <c r="AU40" s="95" t="s">
        <v>17</v>
      </c>
      <c r="AV40" s="38">
        <f t="shared" ref="AV40:AV47" si="61">VLOOKUP($AR40,$BA$3:$BI$90,8)</f>
        <v>3.4388210159756218E-4</v>
      </c>
      <c r="AW40" s="38"/>
      <c r="BA40" s="14">
        <v>28.5</v>
      </c>
      <c r="BB40" s="3">
        <v>0.49307999999999996</v>
      </c>
      <c r="BE40" s="3">
        <f t="shared" si="19"/>
        <v>0.54294763089734965</v>
      </c>
      <c r="BH40" s="3">
        <f t="shared" si="22"/>
        <v>0.4250239293923212</v>
      </c>
    </row>
    <row r="41" spans="4:60" ht="18.75" customHeight="1" x14ac:dyDescent="0.3">
      <c r="D41" s="4"/>
      <c r="E41" s="4"/>
      <c r="F41" s="4"/>
      <c r="G41" s="4"/>
      <c r="H41" s="4"/>
      <c r="I41" s="4"/>
      <c r="J41" s="4"/>
      <c r="R41" s="14">
        <v>15</v>
      </c>
      <c r="S41" s="5">
        <f t="shared" si="52"/>
        <v>1.4113787543393789E-2</v>
      </c>
      <c r="T41" s="5">
        <f t="shared" si="57"/>
        <v>1.1861075402622698E-2</v>
      </c>
      <c r="AO41" s="34">
        <v>19.5</v>
      </c>
      <c r="AP41" s="38">
        <f t="shared" si="59"/>
        <v>0.1140394504239105</v>
      </c>
      <c r="AQ41" s="38"/>
      <c r="AR41" s="94">
        <v>20</v>
      </c>
      <c r="AS41" s="38">
        <f t="shared" si="60"/>
        <v>0.13583572213470577</v>
      </c>
      <c r="AT41" s="38"/>
      <c r="AU41" s="95" t="s">
        <v>0</v>
      </c>
      <c r="AV41" s="38">
        <f t="shared" si="61"/>
        <v>5.2165107703594352E-2</v>
      </c>
      <c r="AW41" s="38"/>
      <c r="BA41" s="14">
        <v>29</v>
      </c>
      <c r="BB41" s="3">
        <v>0.56101000000000001</v>
      </c>
      <c r="BE41" s="3">
        <f t="shared" si="19"/>
        <v>0.56516789429087777</v>
      </c>
      <c r="BH41" s="3">
        <f t="shared" si="22"/>
        <v>0.44884173308775105</v>
      </c>
    </row>
    <row r="42" spans="4:60" ht="18.75" customHeight="1" x14ac:dyDescent="0.3">
      <c r="D42" s="4"/>
      <c r="E42" s="4"/>
      <c r="F42" s="4"/>
      <c r="G42" s="4"/>
      <c r="H42" s="4"/>
      <c r="I42" s="4"/>
      <c r="J42" s="4"/>
      <c r="R42" s="14">
        <v>15.5</v>
      </c>
      <c r="S42" s="5">
        <f t="shared" si="52"/>
        <v>2.9276810584062441E-2</v>
      </c>
      <c r="T42" s="5">
        <f t="shared" si="57"/>
        <v>2.0720941146879342E-2</v>
      </c>
      <c r="AF42" s="23" t="s">
        <v>114</v>
      </c>
      <c r="AG42" s="23"/>
      <c r="AH42" s="23"/>
      <c r="AI42" s="23"/>
      <c r="AJ42" s="23"/>
      <c r="AK42" s="23"/>
      <c r="AL42" s="23"/>
      <c r="AM42" s="2"/>
      <c r="AO42" s="34">
        <v>24.5</v>
      </c>
      <c r="AP42" s="38">
        <f t="shared" si="59"/>
        <v>0.35276573372478942</v>
      </c>
      <c r="AQ42" s="38"/>
      <c r="AR42" s="94">
        <v>25</v>
      </c>
      <c r="AS42" s="38">
        <f t="shared" si="60"/>
        <v>0.37731084323953967</v>
      </c>
      <c r="AT42" s="38"/>
      <c r="AU42" s="95" t="s">
        <v>1</v>
      </c>
      <c r="AV42" s="38">
        <f t="shared" si="61"/>
        <v>0.25494765082100379</v>
      </c>
      <c r="AW42" s="38"/>
      <c r="BA42" s="14">
        <v>29.5</v>
      </c>
      <c r="BB42" s="3">
        <v>0.63050499999999998</v>
      </c>
      <c r="BE42" s="3">
        <f t="shared" si="19"/>
        <v>0.58723928008108417</v>
      </c>
      <c r="BH42" s="3">
        <f t="shared" si="22"/>
        <v>0.47240931264587965</v>
      </c>
    </row>
    <row r="43" spans="4:60" ht="16.5" x14ac:dyDescent="0.3">
      <c r="R43" s="14">
        <v>16</v>
      </c>
      <c r="S43" s="5">
        <f t="shared" si="52"/>
        <v>5.5555669837152474E-2</v>
      </c>
      <c r="T43" s="5">
        <f t="shared" si="57"/>
        <v>3.2447986568562043E-2</v>
      </c>
      <c r="AF43" s="20" t="s">
        <v>55</v>
      </c>
      <c r="AG43" s="20" t="s">
        <v>33</v>
      </c>
      <c r="AH43" s="20" t="s">
        <v>115</v>
      </c>
      <c r="AI43" s="20" t="s">
        <v>13</v>
      </c>
      <c r="AJ43" s="20" t="s">
        <v>15</v>
      </c>
      <c r="AK43" s="20"/>
      <c r="AL43" s="20" t="s">
        <v>111</v>
      </c>
      <c r="AM43" s="2"/>
      <c r="AO43" s="34">
        <v>29.5</v>
      </c>
      <c r="AP43" s="38">
        <f t="shared" si="59"/>
        <v>0.58723928008108417</v>
      </c>
      <c r="AQ43" s="38"/>
      <c r="AR43" s="94">
        <v>30</v>
      </c>
      <c r="AS43" s="38">
        <f t="shared" si="60"/>
        <v>0.60860531780440641</v>
      </c>
      <c r="AT43" s="38"/>
      <c r="AU43" s="95" t="s">
        <v>2</v>
      </c>
      <c r="AV43" s="38">
        <f t="shared" si="61"/>
        <v>0.49569771369193766</v>
      </c>
      <c r="AW43" s="38"/>
      <c r="BA43" s="14">
        <v>30</v>
      </c>
      <c r="BB43" s="3">
        <v>0.7</v>
      </c>
      <c r="BE43" s="3">
        <f t="shared" si="19"/>
        <v>0.60860531780440641</v>
      </c>
      <c r="BH43" s="3">
        <f t="shared" si="22"/>
        <v>0.49569771369193766</v>
      </c>
    </row>
    <row r="44" spans="4:60" ht="16.5" x14ac:dyDescent="0.3">
      <c r="R44" s="14">
        <v>16.5</v>
      </c>
      <c r="S44" s="5">
        <f t="shared" si="52"/>
        <v>9.4172783721186523E-2</v>
      </c>
      <c r="T44" s="5">
        <f t="shared" si="57"/>
        <v>4.7357225527114626E-2</v>
      </c>
      <c r="AF44" s="14">
        <f t="shared" ref="AF44:AF51" si="62">AP26</f>
        <v>0</v>
      </c>
      <c r="AG44" s="5">
        <f t="shared" ref="AG44:AG51" si="63">AR26</f>
        <v>-2.0763381921743722</v>
      </c>
      <c r="AH44" s="5">
        <f t="shared" ref="AH44:AH51" si="64">AK$17+AG44*AK$15</f>
        <v>-2.1137228128206278</v>
      </c>
      <c r="AI44" s="5">
        <f t="shared" ref="AI44:AI51" si="65">EXP(-EXP(-AH44))</f>
        <v>2.5378955154558083E-4</v>
      </c>
      <c r="AJ44" s="5">
        <f t="shared" ref="AJ44:AJ51" si="66">$AL$52*AI44</f>
        <v>1.413869552928822E-3</v>
      </c>
      <c r="AK44" s="5"/>
      <c r="AL44" s="5" t="str">
        <f t="shared" ref="AL44:AL51" si="67">IF(E5=1,D5/AI44,"")</f>
        <v/>
      </c>
      <c r="AO44" s="34">
        <v>34.5</v>
      </c>
      <c r="AP44" s="38">
        <f t="shared" si="59"/>
        <v>0.78000524391569137</v>
      </c>
      <c r="AQ44" s="38"/>
      <c r="AR44" s="94">
        <v>35</v>
      </c>
      <c r="AS44" s="38">
        <f t="shared" si="60"/>
        <v>0.79618058667567304</v>
      </c>
      <c r="AT44" s="38"/>
      <c r="AU44" s="95" t="s">
        <v>3</v>
      </c>
      <c r="AV44" s="38">
        <f t="shared" si="61"/>
        <v>0.70667705316927032</v>
      </c>
      <c r="AW44" s="38"/>
      <c r="BA44" s="14">
        <v>30.5</v>
      </c>
      <c r="BB44" s="3">
        <v>0.77136000000000005</v>
      </c>
      <c r="BE44" s="3">
        <f t="shared" si="19"/>
        <v>0.62978058468408038</v>
      </c>
      <c r="BH44" s="3">
        <f t="shared" si="22"/>
        <v>0.51866602249551563</v>
      </c>
    </row>
    <row r="45" spans="4:60" ht="16.5" x14ac:dyDescent="0.3">
      <c r="R45" s="14">
        <v>17</v>
      </c>
      <c r="S45" s="5">
        <f t="shared" si="52"/>
        <v>0.15027012089138173</v>
      </c>
      <c r="T45" s="5">
        <f t="shared" si="57"/>
        <v>6.0040535214663508E-2</v>
      </c>
      <c r="AF45" s="14">
        <f t="shared" si="62"/>
        <v>1</v>
      </c>
      <c r="AG45" s="5">
        <f t="shared" si="63"/>
        <v>-1.0829372216762827</v>
      </c>
      <c r="AH45" s="5">
        <f t="shared" si="64"/>
        <v>-1.1161308970862782</v>
      </c>
      <c r="AI45" s="5">
        <f t="shared" si="65"/>
        <v>4.7216169175509658E-2</v>
      </c>
      <c r="AJ45" s="5">
        <f t="shared" si="66"/>
        <v>0.26304275962755602</v>
      </c>
      <c r="AK45" s="5"/>
      <c r="AL45" s="5" t="str">
        <f t="shared" si="67"/>
        <v/>
      </c>
      <c r="AO45" s="34">
        <v>39.5</v>
      </c>
      <c r="AP45" s="38">
        <f t="shared" si="59"/>
        <v>0.91989579910861818</v>
      </c>
      <c r="AQ45" s="38"/>
      <c r="AR45" s="94">
        <v>40</v>
      </c>
      <c r="AS45" s="38">
        <f t="shared" si="60"/>
        <v>0.9301904711169463</v>
      </c>
      <c r="AT45" s="38"/>
      <c r="AU45" s="95" t="s">
        <v>4</v>
      </c>
      <c r="AV45" s="38">
        <f t="shared" si="61"/>
        <v>0.8681298246576088</v>
      </c>
      <c r="AW45" s="38"/>
      <c r="BA45" s="14">
        <v>31</v>
      </c>
      <c r="BB45" s="3">
        <v>0.84272000000000002</v>
      </c>
      <c r="BE45" s="3">
        <f t="shared" si="19"/>
        <v>0.65015930185545556</v>
      </c>
      <c r="BH45" s="3">
        <f t="shared" si="22"/>
        <v>0.54127930702587967</v>
      </c>
    </row>
    <row r="46" spans="4:60" ht="16.5" x14ac:dyDescent="0.3">
      <c r="R46" s="14">
        <v>17.5</v>
      </c>
      <c r="S46" s="5">
        <f t="shared" si="52"/>
        <v>0.21425385415051354</v>
      </c>
      <c r="T46" s="5">
        <f t="shared" si="57"/>
        <v>7.2377467343015547E-2</v>
      </c>
      <c r="AF46" s="14">
        <f t="shared" si="62"/>
        <v>2</v>
      </c>
      <c r="AG46" s="5">
        <f t="shared" si="63"/>
        <v>-0.31239691342690196</v>
      </c>
      <c r="AH46" s="5">
        <f t="shared" si="64"/>
        <v>-0.34233984484720237</v>
      </c>
      <c r="AI46" s="5">
        <f t="shared" si="65"/>
        <v>0.24457364743986876</v>
      </c>
      <c r="AJ46" s="5">
        <f t="shared" si="66"/>
        <v>1.3625274620569767</v>
      </c>
      <c r="AK46" s="5"/>
      <c r="AL46" s="5">
        <f t="shared" si="67"/>
        <v>5.5770522060654768</v>
      </c>
      <c r="AO46" s="34">
        <v>44.5</v>
      </c>
      <c r="AP46" s="38">
        <f t="shared" si="59"/>
        <v>0.9893022077709992</v>
      </c>
      <c r="AQ46" s="38"/>
      <c r="AR46" s="94">
        <v>45</v>
      </c>
      <c r="AS46" s="38">
        <f t="shared" si="60"/>
        <v>0.99188281925836119</v>
      </c>
      <c r="AT46" s="38"/>
      <c r="AU46" s="95" t="s">
        <v>5</v>
      </c>
      <c r="AV46" s="38">
        <f t="shared" si="61"/>
        <v>0.9678959889410127</v>
      </c>
      <c r="AW46" s="38"/>
      <c r="BA46" s="14">
        <v>31.5</v>
      </c>
      <c r="BB46" s="3">
        <v>0.91643000000000008</v>
      </c>
      <c r="BE46" s="3">
        <f t="shared" si="19"/>
        <v>0.6703573861620935</v>
      </c>
      <c r="BH46" s="3">
        <f t="shared" si="22"/>
        <v>0.56350706754538271</v>
      </c>
    </row>
    <row r="47" spans="4:60" ht="16.5" x14ac:dyDescent="0.3">
      <c r="R47" s="14">
        <v>18</v>
      </c>
      <c r="S47" s="5">
        <f t="shared" si="52"/>
        <v>0.29502505557741282</v>
      </c>
      <c r="T47" s="5">
        <f t="shared" si="57"/>
        <v>8.4443629869558348E-2</v>
      </c>
      <c r="AF47" s="14">
        <f t="shared" si="62"/>
        <v>3</v>
      </c>
      <c r="AG47" s="5">
        <f t="shared" si="63"/>
        <v>0.35412250953269508</v>
      </c>
      <c r="AH47" s="5">
        <f t="shared" si="64"/>
        <v>0.32699148033866959</v>
      </c>
      <c r="AI47" s="5">
        <f t="shared" si="65"/>
        <v>0.48622204026549282</v>
      </c>
      <c r="AJ47" s="5">
        <f t="shared" si="66"/>
        <v>2.708758238894025</v>
      </c>
      <c r="AK47" s="5"/>
      <c r="AL47" s="5">
        <f t="shared" si="67"/>
        <v>5.4512131917194502</v>
      </c>
      <c r="AO47" s="34">
        <v>49.5</v>
      </c>
      <c r="AP47" s="38">
        <f t="shared" si="59"/>
        <v>0.99999899999999997</v>
      </c>
      <c r="AQ47" s="38"/>
      <c r="AR47" s="94">
        <v>50</v>
      </c>
      <c r="AS47" s="38">
        <f t="shared" si="60"/>
        <v>0.99999899999999997</v>
      </c>
      <c r="AT47" s="38"/>
      <c r="AU47" s="95" t="s">
        <v>6</v>
      </c>
      <c r="AV47" s="38">
        <f t="shared" si="61"/>
        <v>0.99774218875143461</v>
      </c>
      <c r="AW47" s="38"/>
      <c r="BA47" s="14">
        <v>32</v>
      </c>
      <c r="BB47" s="3">
        <v>0.99014000000000002</v>
      </c>
      <c r="BE47" s="3">
        <f t="shared" si="19"/>
        <v>0.68968198845643669</v>
      </c>
      <c r="BH47" s="3">
        <f t="shared" si="22"/>
        <v>0.58532383389079945</v>
      </c>
    </row>
    <row r="48" spans="4:60" ht="16.5" x14ac:dyDescent="0.3">
      <c r="R48" s="14">
        <v>18.5</v>
      </c>
      <c r="S48" s="5">
        <f t="shared" si="52"/>
        <v>0.38314111388963024</v>
      </c>
      <c r="T48" s="5">
        <f t="shared" si="57"/>
        <v>9.5558637851286099E-2</v>
      </c>
      <c r="AF48" s="14">
        <f t="shared" si="62"/>
        <v>4</v>
      </c>
      <c r="AG48" s="5">
        <f t="shared" si="63"/>
        <v>1.0579075746568081</v>
      </c>
      <c r="AH48" s="5">
        <f t="shared" si="64"/>
        <v>1.0337456634258484</v>
      </c>
      <c r="AI48" s="5">
        <f t="shared" si="65"/>
        <v>0.70070224902119282</v>
      </c>
      <c r="AJ48" s="5">
        <f t="shared" si="66"/>
        <v>3.903634210023351</v>
      </c>
      <c r="AK48" s="5"/>
      <c r="AL48" s="5">
        <f t="shared" si="67"/>
        <v>5.6835838697009073</v>
      </c>
      <c r="AR48" s="34">
        <v>55</v>
      </c>
      <c r="AS48" s="24">
        <f t="shared" si="60"/>
        <v>1</v>
      </c>
      <c r="AU48" s="96" t="s">
        <v>56</v>
      </c>
      <c r="AV48" s="24">
        <v>1</v>
      </c>
      <c r="BA48" s="14">
        <v>32.5</v>
      </c>
      <c r="BB48" s="3">
        <v>1.067105</v>
      </c>
      <c r="BE48" s="3">
        <f t="shared" si="19"/>
        <v>0.70892682547846753</v>
      </c>
      <c r="BH48" s="3">
        <f t="shared" si="22"/>
        <v>0.60671120416520141</v>
      </c>
    </row>
    <row r="49" spans="18:60" ht="16.5" x14ac:dyDescent="0.3">
      <c r="R49" s="14">
        <v>19</v>
      </c>
      <c r="S49" s="5">
        <f t="shared" si="52"/>
        <v>0.48614233127998502</v>
      </c>
      <c r="T49" s="5">
        <f t="shared" si="57"/>
        <v>0.10450325502786095</v>
      </c>
      <c r="AF49" s="14">
        <f t="shared" si="62"/>
        <v>5</v>
      </c>
      <c r="AG49" s="5">
        <f t="shared" si="63"/>
        <v>1.9560634644574093</v>
      </c>
      <c r="AH49" s="5">
        <f t="shared" si="64"/>
        <v>1.9356906799331521</v>
      </c>
      <c r="AI49" s="5">
        <f t="shared" si="65"/>
        <v>0.86560676778121726</v>
      </c>
      <c r="AJ49" s="5">
        <f t="shared" si="66"/>
        <v>4.8223224570188297</v>
      </c>
      <c r="AK49" s="5"/>
      <c r="AL49" s="5">
        <f t="shared" si="67"/>
        <v>5.5722762107829524</v>
      </c>
      <c r="AR49" s="34"/>
      <c r="BA49" s="14">
        <v>33</v>
      </c>
      <c r="BB49" s="3">
        <v>1.1440699999999999</v>
      </c>
      <c r="BE49" s="3">
        <f t="shared" si="19"/>
        <v>0.72722453063414172</v>
      </c>
      <c r="BH49" s="3">
        <f t="shared" si="22"/>
        <v>0.62765447159654986</v>
      </c>
    </row>
    <row r="50" spans="18:60" ht="16.5" x14ac:dyDescent="0.3">
      <c r="R50" s="14">
        <v>19.5</v>
      </c>
      <c r="S50" s="5">
        <f t="shared" si="52"/>
        <v>0.59214762394535214</v>
      </c>
      <c r="T50" s="5">
        <f t="shared" si="57"/>
        <v>0.11185480531407518</v>
      </c>
      <c r="AF50" s="14">
        <f t="shared" si="62"/>
        <v>6</v>
      </c>
      <c r="AG50" s="5">
        <f t="shared" si="63"/>
        <v>3.4225033426535072</v>
      </c>
      <c r="AH50" s="5">
        <f t="shared" si="64"/>
        <v>3.4083171528722636</v>
      </c>
      <c r="AI50" s="5">
        <f t="shared" si="65"/>
        <v>0.96744485755543352</v>
      </c>
      <c r="AJ50" s="5">
        <f t="shared" si="66"/>
        <v>5.3896656497677888</v>
      </c>
      <c r="AK50" s="5"/>
      <c r="AL50" s="5" t="str">
        <f t="shared" si="67"/>
        <v/>
      </c>
      <c r="BA50" s="14">
        <v>33.5</v>
      </c>
      <c r="BB50" s="3">
        <v>1.2251699999999999</v>
      </c>
      <c r="BE50" s="3">
        <f t="shared" si="19"/>
        <v>0.74549431857979753</v>
      </c>
      <c r="BH50" s="3">
        <f t="shared" si="22"/>
        <v>0.64813640841856179</v>
      </c>
    </row>
    <row r="51" spans="18:60" ht="16.5" x14ac:dyDescent="0.3">
      <c r="R51" s="14">
        <v>20</v>
      </c>
      <c r="S51" s="5">
        <f t="shared" si="52"/>
        <v>0.70985194190813539</v>
      </c>
      <c r="T51" s="5">
        <f t="shared" si="57"/>
        <v>0.11926323882612594</v>
      </c>
      <c r="AF51" s="16">
        <f t="shared" si="62"/>
        <v>7</v>
      </c>
      <c r="AG51" s="19">
        <f t="shared" si="63"/>
        <v>6.0922294399695751</v>
      </c>
      <c r="AH51" s="19">
        <f t="shared" si="64"/>
        <v>6.0893062509321849</v>
      </c>
      <c r="AI51" s="19">
        <f t="shared" si="65"/>
        <v>0.99773558657555461</v>
      </c>
      <c r="AJ51" s="19">
        <f t="shared" si="66"/>
        <v>5.5584162513459425</v>
      </c>
      <c r="AK51" s="19"/>
      <c r="AL51" s="19" t="str">
        <f t="shared" si="67"/>
        <v/>
      </c>
      <c r="BA51" s="14">
        <v>34</v>
      </c>
      <c r="BB51" s="3">
        <v>1.30627</v>
      </c>
      <c r="BE51" s="3">
        <f t="shared" si="19"/>
        <v>0.76274739968650018</v>
      </c>
      <c r="BH51" s="3">
        <f t="shared" si="22"/>
        <v>0.66814271807246539</v>
      </c>
    </row>
    <row r="52" spans="18:60" ht="16.5" x14ac:dyDescent="0.3">
      <c r="R52" s="14">
        <v>20.5</v>
      </c>
      <c r="S52" s="5">
        <f t="shared" si="52"/>
        <v>0.83067410159760402</v>
      </c>
      <c r="T52" s="5">
        <f t="shared" si="57"/>
        <v>0.12531113526810767</v>
      </c>
      <c r="AF52" s="2"/>
      <c r="AG52" s="10"/>
      <c r="AH52" s="10"/>
      <c r="AI52" s="10"/>
      <c r="AJ52" s="10"/>
      <c r="AK52" s="10"/>
      <c r="AL52" s="10">
        <f>AVERAGE(AL44:AL51)</f>
        <v>5.5710313695671969</v>
      </c>
      <c r="AM52" s="2" t="s">
        <v>54</v>
      </c>
      <c r="BA52" s="14">
        <v>34.5</v>
      </c>
      <c r="BB52" s="3">
        <v>1.392495</v>
      </c>
      <c r="BE52" s="3">
        <f t="shared" si="19"/>
        <v>0.78000524391569137</v>
      </c>
      <c r="BH52" s="3">
        <f t="shared" si="22"/>
        <v>0.68765999153397683</v>
      </c>
    </row>
    <row r="53" spans="18:60" ht="16.5" x14ac:dyDescent="0.3">
      <c r="R53" s="14">
        <v>21</v>
      </c>
      <c r="S53" s="5">
        <f t="shared" si="52"/>
        <v>0.96047421244435072</v>
      </c>
      <c r="T53" s="5">
        <f t="shared" si="57"/>
        <v>0.12933634944107408</v>
      </c>
      <c r="BA53" s="14">
        <v>35</v>
      </c>
      <c r="BB53" s="3">
        <v>1.47872</v>
      </c>
      <c r="BE53" s="3">
        <f t="shared" si="19"/>
        <v>0.79618058667567304</v>
      </c>
      <c r="BH53" s="3">
        <f t="shared" si="22"/>
        <v>0.70667705316927032</v>
      </c>
    </row>
    <row r="54" spans="18:60" ht="16.5" x14ac:dyDescent="0.3">
      <c r="R54" s="14">
        <v>21.5</v>
      </c>
      <c r="S54" s="5">
        <f t="shared" si="52"/>
        <v>1.0893468004797522</v>
      </c>
      <c r="T54" s="5">
        <f t="shared" si="57"/>
        <v>0.13197265529474239</v>
      </c>
      <c r="BA54" s="14">
        <v>35.5</v>
      </c>
      <c r="BB54" s="3">
        <v>1.5714900000000001</v>
      </c>
      <c r="BE54" s="3">
        <f t="shared" si="19"/>
        <v>0.81242195411874019</v>
      </c>
      <c r="BH54" s="3">
        <f t="shared" si="22"/>
        <v>0.72518788508456689</v>
      </c>
    </row>
    <row r="55" spans="18:60" ht="16.5" x14ac:dyDescent="0.3">
      <c r="R55" s="14">
        <v>22</v>
      </c>
      <c r="S55" s="5">
        <f t="shared" si="52"/>
        <v>1.2244195230338355</v>
      </c>
      <c r="T55" s="5">
        <f t="shared" si="57"/>
        <v>0.13433883148596892</v>
      </c>
      <c r="BA55" s="14">
        <v>36</v>
      </c>
      <c r="BB55" s="3">
        <v>1.6642600000000001</v>
      </c>
      <c r="BE55" s="3">
        <f t="shared" si="19"/>
        <v>0.82751279395132449</v>
      </c>
      <c r="BH55" s="3">
        <f t="shared" si="22"/>
        <v>0.74318762816109318</v>
      </c>
    </row>
    <row r="56" spans="18:60" ht="16.5" x14ac:dyDescent="0.3">
      <c r="R56" s="14">
        <v>22.5</v>
      </c>
      <c r="S56" s="5">
        <f t="shared" si="52"/>
        <v>1.35802446345169</v>
      </c>
      <c r="T56" s="5">
        <f t="shared" si="57"/>
        <v>0.13558180069130243</v>
      </c>
      <c r="BA56" s="14">
        <v>36.5</v>
      </c>
      <c r="BB56" s="3">
        <v>1.765115</v>
      </c>
      <c r="BE56" s="3">
        <f t="shared" si="19"/>
        <v>0.84268074879519927</v>
      </c>
      <c r="BH56" s="3">
        <f t="shared" si="22"/>
        <v>0.76067147089754195</v>
      </c>
    </row>
    <row r="57" spans="18:60" ht="16.5" x14ac:dyDescent="0.3">
      <c r="R57" s="14">
        <v>23</v>
      </c>
      <c r="S57" s="5">
        <f t="shared" si="52"/>
        <v>1.4955831244164404</v>
      </c>
      <c r="T57" s="5">
        <f t="shared" si="57"/>
        <v>0.13679250987987301</v>
      </c>
      <c r="BA57" s="14">
        <v>37</v>
      </c>
      <c r="BB57" s="3">
        <v>1.8659699999999999</v>
      </c>
      <c r="BE57" s="3">
        <f t="shared" si="19"/>
        <v>0.85663270594830188</v>
      </c>
      <c r="BH57" s="3">
        <f t="shared" si="22"/>
        <v>0.77763517490379064</v>
      </c>
    </row>
    <row r="58" spans="18:60" ht="16.5" x14ac:dyDescent="0.3">
      <c r="R58" s="14">
        <v>23.5</v>
      </c>
      <c r="S58" s="5">
        <f t="shared" si="52"/>
        <v>1.6316094832114361</v>
      </c>
      <c r="T58" s="5">
        <f t="shared" si="57"/>
        <v>0.13709854767480179</v>
      </c>
      <c r="BA58" s="14">
        <v>37.5</v>
      </c>
      <c r="BB58" s="3">
        <v>1.977455</v>
      </c>
      <c r="BE58" s="3">
        <f t="shared" si="19"/>
        <v>0.87073197452756534</v>
      </c>
      <c r="BH58" s="3">
        <f t="shared" si="22"/>
        <v>0.79407296823083873</v>
      </c>
    </row>
    <row r="59" spans="18:60" ht="16.5" x14ac:dyDescent="0.3">
      <c r="R59" s="14">
        <v>24</v>
      </c>
      <c r="S59" s="5">
        <f t="shared" si="52"/>
        <v>1.7697802197660439</v>
      </c>
      <c r="T59" s="5">
        <f t="shared" si="57"/>
        <v>0.1373664079092336</v>
      </c>
      <c r="BA59" s="14">
        <v>38</v>
      </c>
      <c r="BB59" s="3">
        <v>2.08894</v>
      </c>
      <c r="BE59" s="3">
        <f t="shared" si="19"/>
        <v>0.88354035348438364</v>
      </c>
      <c r="BH59" s="3">
        <f t="shared" si="22"/>
        <v>0.80997901682580553</v>
      </c>
    </row>
    <row r="60" spans="18:60" ht="16.5" x14ac:dyDescent="0.3">
      <c r="R60" s="14">
        <v>24.5</v>
      </c>
      <c r="S60" s="5">
        <f t="shared" si="52"/>
        <v>1.9063422990299033</v>
      </c>
      <c r="T60" s="5">
        <f t="shared" si="57"/>
        <v>0.13689586607166282</v>
      </c>
      <c r="BA60" s="14">
        <v>38.5</v>
      </c>
      <c r="BB60" s="3">
        <v>2.2144300000000001</v>
      </c>
      <c r="BE60" s="3">
        <f t="shared" si="19"/>
        <v>0.89653696923966519</v>
      </c>
      <c r="BH60" s="3">
        <f t="shared" si="22"/>
        <v>0.82534694050131108</v>
      </c>
    </row>
    <row r="61" spans="18:60" ht="16.5" x14ac:dyDescent="0.3">
      <c r="R61" s="14">
        <v>25</v>
      </c>
      <c r="S61" s="5">
        <f t="shared" si="52"/>
        <v>2.0435719519093696</v>
      </c>
      <c r="T61" s="5">
        <f t="shared" si="57"/>
        <v>0.13694679318807712</v>
      </c>
      <c r="BA61" s="14">
        <v>39</v>
      </c>
      <c r="BB61" s="3">
        <v>2.3399200000000002</v>
      </c>
      <c r="BE61" s="3">
        <f t="shared" si="19"/>
        <v>0.90815941850597914</v>
      </c>
      <c r="BH61" s="3">
        <f t="shared" si="22"/>
        <v>0.84016967397527831</v>
      </c>
    </row>
    <row r="62" spans="18:60" ht="16.5" x14ac:dyDescent="0.3">
      <c r="R62" s="14">
        <v>25.5</v>
      </c>
      <c r="S62" s="5">
        <f t="shared" si="52"/>
        <v>2.1802358854060575</v>
      </c>
      <c r="T62" s="5">
        <f t="shared" si="57"/>
        <v>0.13638417562936067</v>
      </c>
      <c r="BA62" s="14">
        <v>39.5</v>
      </c>
      <c r="BB62" s="3">
        <v>2.4829699999999999</v>
      </c>
      <c r="BE62" s="3">
        <f t="shared" si="19"/>
        <v>0.91989579910861818</v>
      </c>
      <c r="BH62" s="3">
        <f t="shared" si="22"/>
        <v>0.85443480267589877</v>
      </c>
    </row>
    <row r="63" spans="18:60" ht="16.5" x14ac:dyDescent="0.3">
      <c r="R63" s="14">
        <v>26</v>
      </c>
      <c r="S63" s="5">
        <f t="shared" ref="S63:S94" si="68">AL$52*EXP(-EXP(-($N$4+$N$5*BB35)))</f>
        <v>2.3163403031680909</v>
      </c>
      <c r="T63" s="5">
        <f t="shared" si="57"/>
        <v>0.13557775594883004</v>
      </c>
      <c r="BA63" s="14">
        <v>40</v>
      </c>
      <c r="BB63" s="3">
        <v>2.62602</v>
      </c>
      <c r="BE63" s="3">
        <f t="shared" si="19"/>
        <v>0.9301904711169463</v>
      </c>
      <c r="BH63" s="3">
        <f t="shared" si="22"/>
        <v>0.8681298246576088</v>
      </c>
    </row>
    <row r="64" spans="18:60" ht="16.5" x14ac:dyDescent="0.3">
      <c r="R64" s="14">
        <v>26.5</v>
      </c>
      <c r="S64" s="5">
        <f t="shared" si="68"/>
        <v>2.4513913973037176</v>
      </c>
      <c r="T64" s="5">
        <f t="shared" si="57"/>
        <v>0.13425034132386493</v>
      </c>
      <c r="BA64" s="14">
        <v>40.5</v>
      </c>
      <c r="BB64" s="3">
        <v>2.7905100000000003</v>
      </c>
      <c r="BE64" s="3">
        <f t="shared" si="19"/>
        <v>0.94045648704234741</v>
      </c>
      <c r="BH64" s="3">
        <f t="shared" si="22"/>
        <v>0.88123204552585277</v>
      </c>
    </row>
    <row r="65" spans="18:60" ht="16.5" x14ac:dyDescent="0.3">
      <c r="R65" s="14">
        <v>27</v>
      </c>
      <c r="S65" s="5">
        <f t="shared" si="68"/>
        <v>2.5848409858158208</v>
      </c>
      <c r="T65" s="5">
        <f t="shared" si="57"/>
        <v>0.13278788286169241</v>
      </c>
      <c r="BA65" s="14">
        <v>41</v>
      </c>
      <c r="BB65" s="3">
        <v>2.9550000000000001</v>
      </c>
      <c r="BE65" s="3">
        <f t="shared" si="19"/>
        <v>0.94925419502434549</v>
      </c>
      <c r="BH65" s="3">
        <f t="shared" si="22"/>
        <v>0.89372084222568415</v>
      </c>
    </row>
    <row r="66" spans="18:60" ht="16.5" x14ac:dyDescent="0.3">
      <c r="R66" s="14">
        <v>27.5</v>
      </c>
      <c r="S66" s="5">
        <f t="shared" si="68"/>
        <v>2.7169671630271024</v>
      </c>
      <c r="T66" s="5">
        <f t="shared" si="57"/>
        <v>0.13088925074365232</v>
      </c>
      <c r="BA66" s="14">
        <v>41.5</v>
      </c>
      <c r="BB66" s="3">
        <v>3.1418650000000001</v>
      </c>
      <c r="BE66" s="3">
        <f t="shared" si="19"/>
        <v>0.9577177671698458</v>
      </c>
      <c r="BH66" s="3">
        <f t="shared" si="22"/>
        <v>0.90555976319806752</v>
      </c>
    </row>
    <row r="67" spans="18:60" ht="16.5" x14ac:dyDescent="0.3">
      <c r="R67" s="14">
        <v>28</v>
      </c>
      <c r="S67" s="5">
        <f t="shared" si="68"/>
        <v>2.8466194873031254</v>
      </c>
      <c r="T67" s="5">
        <f t="shared" si="57"/>
        <v>0.1292613295191456</v>
      </c>
      <c r="BA67" s="14">
        <v>42</v>
      </c>
      <c r="BB67" s="3">
        <v>3.3287300000000002</v>
      </c>
      <c r="BE67" s="3">
        <f t="shared" si="19"/>
        <v>0.9647960074927292</v>
      </c>
      <c r="BH67" s="3">
        <f t="shared" si="22"/>
        <v>0.91671977919402114</v>
      </c>
    </row>
    <row r="68" spans="18:60" ht="16.5" x14ac:dyDescent="0.3">
      <c r="R68" s="14">
        <v>28.5</v>
      </c>
      <c r="S68" s="5">
        <f t="shared" si="68"/>
        <v>2.9754898220653936</v>
      </c>
      <c r="T68" s="5">
        <f t="shared" si="57"/>
        <v>0.12725364439495968</v>
      </c>
      <c r="BA68" s="14">
        <v>42.5</v>
      </c>
      <c r="BB68" s="3">
        <v>3.5442850000000004</v>
      </c>
      <c r="BE68" s="3">
        <f t="shared" si="19"/>
        <v>0.97152403443876401</v>
      </c>
      <c r="BH68" s="3">
        <f t="shared" si="22"/>
        <v>0.92716754726680262</v>
      </c>
    </row>
    <row r="69" spans="18:60" ht="16.5" x14ac:dyDescent="0.3">
      <c r="R69" s="14">
        <v>29</v>
      </c>
      <c r="S69" s="5">
        <f t="shared" si="68"/>
        <v>3.1011267760930448</v>
      </c>
      <c r="T69" s="5">
        <f t="shared" si="57"/>
        <v>0.12527368159612884</v>
      </c>
      <c r="BA69" s="14">
        <v>43</v>
      </c>
      <c r="BB69" s="3">
        <v>3.7598400000000001</v>
      </c>
      <c r="BE69" s="3">
        <f t="shared" si="19"/>
        <v>0.97698159434136056</v>
      </c>
      <c r="BH69" s="3">
        <f t="shared" si="22"/>
        <v>0.93687921230521143</v>
      </c>
    </row>
    <row r="70" spans="18:60" ht="16.5" x14ac:dyDescent="0.3">
      <c r="R70" s="14">
        <v>29.5</v>
      </c>
      <c r="S70" s="5">
        <f t="shared" si="68"/>
        <v>3.2260371852576513</v>
      </c>
      <c r="T70" s="5">
        <f t="shared" si="57"/>
        <v>0.12296534488708777</v>
      </c>
      <c r="BA70" s="14">
        <v>43.5</v>
      </c>
      <c r="BB70" s="3">
        <v>4.0074149999999999</v>
      </c>
      <c r="BE70" s="3">
        <f t="shared" ref="BE70:BE81" si="69">EXP(-EXP(-BB70))</f>
        <v>0.98198393453897526</v>
      </c>
      <c r="BH70" s="3">
        <f t="shared" si="22"/>
        <v>0.94582362261302577</v>
      </c>
    </row>
    <row r="71" spans="18:60" ht="16.5" x14ac:dyDescent="0.3">
      <c r="R71" s="14">
        <v>30</v>
      </c>
      <c r="S71" s="5">
        <f t="shared" si="68"/>
        <v>3.3470574658672203</v>
      </c>
      <c r="T71" s="5">
        <f t="shared" si="57"/>
        <v>0.12052580830236304</v>
      </c>
      <c r="BA71" s="14">
        <v>44</v>
      </c>
      <c r="BB71" s="3">
        <v>4.2549900000000003</v>
      </c>
      <c r="BE71" s="3">
        <f t="shared" si="69"/>
        <v>0.98590701640310585</v>
      </c>
      <c r="BH71" s="3">
        <f t="shared" si="22"/>
        <v>0.95398335077284746</v>
      </c>
    </row>
    <row r="72" spans="18:60" ht="16.5" x14ac:dyDescent="0.3">
      <c r="R72" s="14">
        <v>30.5</v>
      </c>
      <c r="S72" s="5">
        <f t="shared" si="68"/>
        <v>3.4670888018623773</v>
      </c>
      <c r="T72" s="5">
        <f t="shared" si="57"/>
        <v>0.11781360723510392</v>
      </c>
      <c r="BA72" s="14">
        <v>44.5</v>
      </c>
      <c r="BB72" s="3">
        <v>4.5323450000000003</v>
      </c>
      <c r="BE72" s="3">
        <f t="shared" si="69"/>
        <v>0.9893022077709992</v>
      </c>
      <c r="BH72" s="3">
        <f t="shared" si="22"/>
        <v>0.96134105110082302</v>
      </c>
    </row>
    <row r="73" spans="18:60" ht="16.5" x14ac:dyDescent="0.3">
      <c r="R73" s="14">
        <v>31</v>
      </c>
      <c r="S73" s="5">
        <f t="shared" si="68"/>
        <v>3.5826846803374282</v>
      </c>
      <c r="T73" s="5">
        <f t="shared" si="57"/>
        <v>0.1151191880209288</v>
      </c>
      <c r="BA73" s="14">
        <v>45</v>
      </c>
      <c r="BB73" s="3">
        <v>4.8097000000000003</v>
      </c>
      <c r="BE73" s="3">
        <f t="shared" si="69"/>
        <v>0.99188281925836119</v>
      </c>
      <c r="BH73" s="3">
        <f t="shared" si="22"/>
        <v>0.9678959889410127</v>
      </c>
    </row>
    <row r="74" spans="18:60" ht="16.5" x14ac:dyDescent="0.3">
      <c r="R74" s="14">
        <v>31.5</v>
      </c>
      <c r="S74" s="5">
        <f t="shared" si="68"/>
        <v>3.6973271779042349</v>
      </c>
      <c r="T74" s="5">
        <f t="shared" si="57"/>
        <v>0.11219410649438877</v>
      </c>
      <c r="BA74" s="14">
        <v>45.5</v>
      </c>
      <c r="BB74" s="3">
        <v>5.1114049999999995</v>
      </c>
      <c r="BE74" s="3">
        <f t="shared" si="69"/>
        <v>0.99399052140390287</v>
      </c>
      <c r="BH74" s="3">
        <f t="shared" si="22"/>
        <v>0.97365730806616113</v>
      </c>
    </row>
    <row r="75" spans="18:60" ht="16.5" x14ac:dyDescent="0.3">
      <c r="R75" s="14">
        <v>32</v>
      </c>
      <c r="S75" s="5">
        <f t="shared" si="68"/>
        <v>3.8070728933262057</v>
      </c>
      <c r="T75" s="5">
        <f t="shared" si="57"/>
        <v>0.10954629769838586</v>
      </c>
      <c r="BA75" s="14">
        <v>46</v>
      </c>
      <c r="BB75" s="3">
        <v>5.4131099999999996</v>
      </c>
      <c r="BE75" s="3">
        <f t="shared" si="69"/>
        <v>0.99555216602957797</v>
      </c>
      <c r="BH75" s="3">
        <f t="shared" si="22"/>
        <v>0.97864890833450058</v>
      </c>
    </row>
    <row r="76" spans="18:60" ht="16.5" x14ac:dyDescent="0.3">
      <c r="R76" s="14">
        <v>32.5</v>
      </c>
      <c r="S76" s="5">
        <f t="shared" si="68"/>
        <v>3.9164197733010067</v>
      </c>
      <c r="T76" s="5">
        <f t="shared" si="57"/>
        <v>0.10667884949448414</v>
      </c>
      <c r="BA76" s="14">
        <v>46.5</v>
      </c>
      <c r="BB76" s="3">
        <v>5.7708750000000002</v>
      </c>
      <c r="BE76" s="3">
        <f t="shared" si="69"/>
        <v>0.99688782397086073</v>
      </c>
      <c r="BH76" s="3">
        <f t="shared" si="22"/>
        <v>0.98292230972481287</v>
      </c>
    </row>
    <row r="77" spans="18:60" ht="16.5" x14ac:dyDescent="0.3">
      <c r="R77" s="14">
        <v>33</v>
      </c>
      <c r="S77" s="5">
        <f t="shared" si="68"/>
        <v>4.020430592315174</v>
      </c>
      <c r="T77" s="5">
        <f t="shared" si="57"/>
        <v>0.10395126134093813</v>
      </c>
      <c r="BA77" s="14">
        <v>47</v>
      </c>
      <c r="BB77" s="3">
        <v>6.1286399999999999</v>
      </c>
      <c r="BE77" s="3">
        <f t="shared" si="69"/>
        <v>0.99782283035479935</v>
      </c>
      <c r="BH77" s="3">
        <f t="shared" si="22"/>
        <v>0.98653215370796721</v>
      </c>
    </row>
    <row r="78" spans="18:60" ht="16.5" x14ac:dyDescent="0.3">
      <c r="R78" s="14">
        <v>33.5</v>
      </c>
      <c r="S78" s="5">
        <f t="shared" si="68"/>
        <v>4.1243222959828829</v>
      </c>
      <c r="T78" s="5">
        <f t="shared" si="57"/>
        <v>0.10101696942718696</v>
      </c>
      <c r="BA78" s="14">
        <v>47.5</v>
      </c>
      <c r="BB78" s="3">
        <v>6.5994299999999999</v>
      </c>
      <c r="BE78" s="3">
        <f t="shared" si="69"/>
        <v>0.9986397822675217</v>
      </c>
      <c r="BH78" s="3">
        <f t="shared" si="22"/>
        <v>0.98953928224250864</v>
      </c>
    </row>
    <row r="79" spans="18:60" ht="16.5" x14ac:dyDescent="0.3">
      <c r="R79" s="14">
        <v>34</v>
      </c>
      <c r="S79" s="5">
        <f t="shared" si="68"/>
        <v>4.2224645311695479</v>
      </c>
      <c r="T79" s="5">
        <f t="shared" si="57"/>
        <v>9.8169234917294901E-2</v>
      </c>
      <c r="BA79" s="14">
        <v>48</v>
      </c>
      <c r="BB79" s="3">
        <v>7.0702199999999999</v>
      </c>
      <c r="BE79" s="3">
        <f t="shared" si="69"/>
        <v>0.99915031510836183</v>
      </c>
      <c r="BH79" s="3">
        <f t="shared" ref="BH79:BH83" si="70">0.2*(0.25*(BE69+BE79)+0.5*SUM(BE70:BE78))</f>
        <v>0.99200350567229645</v>
      </c>
    </row>
    <row r="80" spans="18:60" ht="16.5" x14ac:dyDescent="0.3">
      <c r="R80" s="14">
        <v>34.5</v>
      </c>
      <c r="S80" s="5">
        <f t="shared" si="68"/>
        <v>4.3206607658174727</v>
      </c>
      <c r="T80" s="5">
        <f t="shared" si="57"/>
        <v>9.5126782718523817E-2</v>
      </c>
      <c r="BA80" s="14">
        <v>48.5</v>
      </c>
      <c r="BB80" s="3">
        <v>7.8593049999999991</v>
      </c>
      <c r="BE80" s="3">
        <f t="shared" si="69"/>
        <v>0.9996139323963561</v>
      </c>
      <c r="BH80" s="3">
        <f t="shared" si="70"/>
        <v>0.99399344160351566</v>
      </c>
    </row>
    <row r="81" spans="18:61" ht="16.5" x14ac:dyDescent="0.3">
      <c r="R81" s="14">
        <v>35</v>
      </c>
      <c r="S81" s="5">
        <f t="shared" si="68"/>
        <v>4.4127180966065955</v>
      </c>
      <c r="T81" s="5">
        <f t="shared" si="57"/>
        <v>9.2253138087543096E-2</v>
      </c>
      <c r="BA81" s="14">
        <v>49</v>
      </c>
      <c r="BB81" s="3">
        <v>8.6483899999999991</v>
      </c>
      <c r="BE81" s="3">
        <f t="shared" si="69"/>
        <v>0.99982460635378612</v>
      </c>
      <c r="BH81" s="3">
        <f t="shared" si="70"/>
        <v>0.9955708209939188</v>
      </c>
    </row>
    <row r="82" spans="18:61" ht="16.5" x14ac:dyDescent="0.3">
      <c r="R82" s="14">
        <v>35.5</v>
      </c>
      <c r="S82" s="5">
        <f t="shared" si="68"/>
        <v>4.5051670419925589</v>
      </c>
      <c r="T82" s="5">
        <f t="shared" si="57"/>
        <v>8.9179637077420715E-2</v>
      </c>
      <c r="BA82" s="14">
        <v>49.5</v>
      </c>
      <c r="BB82" s="3">
        <v>11.824195</v>
      </c>
      <c r="BE82" s="3">
        <v>0.99999899999999997</v>
      </c>
      <c r="BH82" s="3">
        <f t="shared" si="70"/>
        <v>0.99680154010290289</v>
      </c>
    </row>
    <row r="83" spans="18:61" ht="16.5" x14ac:dyDescent="0.3">
      <c r="R83" s="14">
        <v>36</v>
      </c>
      <c r="S83" s="5">
        <f t="shared" si="68"/>
        <v>4.591077370761437</v>
      </c>
      <c r="T83" s="5">
        <f t="shared" si="57"/>
        <v>8.6132860537003531E-2</v>
      </c>
      <c r="BA83" s="14">
        <v>50</v>
      </c>
      <c r="BB83" s="3">
        <v>15</v>
      </c>
      <c r="BE83" s="3">
        <v>0.99999899999999997</v>
      </c>
      <c r="BH83" s="3">
        <f t="shared" si="70"/>
        <v>0.99774218875143461</v>
      </c>
    </row>
    <row r="84" spans="18:61" ht="16.5" x14ac:dyDescent="0.3">
      <c r="R84" s="14">
        <v>36.5</v>
      </c>
      <c r="S84" s="5">
        <f t="shared" si="68"/>
        <v>4.677432763066566</v>
      </c>
      <c r="T84" s="5">
        <f t="shared" si="57"/>
        <v>8.2894650823993832E-2</v>
      </c>
      <c r="BA84" s="14">
        <v>50.5</v>
      </c>
      <c r="BB84" s="3">
        <v>99999</v>
      </c>
      <c r="BE84" s="3">
        <v>1</v>
      </c>
      <c r="BH84" s="3">
        <f t="shared" ref="BH84:BH89" si="71">0.2*(0.25*(BE74+BE84)+0.5*SUM(BE75:BE83))</f>
        <v>0.99844847171832152</v>
      </c>
    </row>
    <row r="85" spans="18:61" ht="16.5" x14ac:dyDescent="0.3">
      <c r="R85" s="14">
        <v>37</v>
      </c>
      <c r="S85" s="5">
        <f t="shared" si="68"/>
        <v>4.7568666724094246</v>
      </c>
      <c r="T85" s="5">
        <f t="shared" si="57"/>
        <v>7.9851920163980683E-2</v>
      </c>
      <c r="BA85" s="14">
        <v>51</v>
      </c>
      <c r="BB85" s="3">
        <v>99999</v>
      </c>
      <c r="BE85" s="3">
        <v>1</v>
      </c>
      <c r="BH85" s="3">
        <f t="shared" si="71"/>
        <v>0.99897133734664745</v>
      </c>
    </row>
    <row r="86" spans="18:61" ht="16.5" x14ac:dyDescent="0.3">
      <c r="R86" s="14">
        <v>37.5</v>
      </c>
      <c r="S86" s="5">
        <f t="shared" si="68"/>
        <v>4.8371366033945273</v>
      </c>
      <c r="T86" s="5">
        <f t="shared" si="57"/>
        <v>7.6592122889588943E-2</v>
      </c>
      <c r="BA86" s="14">
        <v>51.5</v>
      </c>
      <c r="BB86" s="3">
        <v>99999</v>
      </c>
      <c r="BE86" s="3">
        <v>1</v>
      </c>
      <c r="BH86" s="3">
        <f t="shared" si="71"/>
        <v>0.99934933784662572</v>
      </c>
    </row>
    <row r="87" spans="18:61" ht="16.5" x14ac:dyDescent="0.3">
      <c r="R87" s="14">
        <v>38</v>
      </c>
      <c r="S87" s="5">
        <f t="shared" si="68"/>
        <v>4.9100509181886025</v>
      </c>
      <c r="T87" s="5">
        <f t="shared" si="57"/>
        <v>7.34447828499869E-2</v>
      </c>
      <c r="BA87" s="14">
        <v>52</v>
      </c>
      <c r="BB87" s="3">
        <v>99999</v>
      </c>
      <c r="BE87" s="3">
        <v>1</v>
      </c>
      <c r="BH87" s="3">
        <f t="shared" si="71"/>
        <v>0.99961380513034259</v>
      </c>
    </row>
    <row r="88" spans="18:61" ht="16.5" x14ac:dyDescent="0.3">
      <c r="R88" s="14">
        <v>38.5</v>
      </c>
      <c r="S88" s="5">
        <f t="shared" si="68"/>
        <v>4.9840261690945011</v>
      </c>
      <c r="T88" s="5">
        <f t="shared" si="57"/>
        <v>7.0057752251770022E-2</v>
      </c>
      <c r="BA88" s="14">
        <v>52.5</v>
      </c>
      <c r="BB88" s="3">
        <v>99999</v>
      </c>
      <c r="BE88" s="3">
        <v>1</v>
      </c>
      <c r="BH88" s="3">
        <f t="shared" si="71"/>
        <v>0.99979067449922665</v>
      </c>
    </row>
    <row r="89" spans="18:61" ht="16.5" x14ac:dyDescent="0.3">
      <c r="R89" s="14">
        <v>39</v>
      </c>
      <c r="S89" s="5">
        <f t="shared" si="68"/>
        <v>5.0501664226921426</v>
      </c>
      <c r="T89" s="5">
        <f t="shared" si="57"/>
        <v>6.6455540783996625E-2</v>
      </c>
      <c r="BA89" s="14">
        <v>53</v>
      </c>
      <c r="BB89" s="3">
        <v>99999</v>
      </c>
      <c r="BE89" s="3">
        <v>1</v>
      </c>
      <c r="BH89" s="3">
        <f t="shared" si="71"/>
        <v>0.99990116963043241</v>
      </c>
    </row>
    <row r="90" spans="18:61" ht="16.5" x14ac:dyDescent="0.3">
      <c r="R90" s="14">
        <v>39.5</v>
      </c>
      <c r="S90" s="5">
        <f t="shared" si="68"/>
        <v>5.1169372506624944</v>
      </c>
      <c r="T90" s="5">
        <f t="shared" si="57"/>
        <v>6.2660003031874023E-2</v>
      </c>
      <c r="BA90" s="16">
        <v>53.5</v>
      </c>
      <c r="BB90" s="18">
        <v>100000</v>
      </c>
      <c r="BC90" s="18"/>
      <c r="BD90" s="18"/>
      <c r="BE90" s="18">
        <v>1</v>
      </c>
      <c r="BF90" s="18"/>
      <c r="BG90" s="18"/>
      <c r="BH90" s="97"/>
      <c r="BI90" s="97"/>
    </row>
    <row r="91" spans="18:61" ht="16.5" x14ac:dyDescent="0.3">
      <c r="R91" s="14">
        <v>40</v>
      </c>
      <c r="S91" s="5">
        <f t="shared" si="68"/>
        <v>5.1754864287558906</v>
      </c>
      <c r="T91" s="5">
        <f t="shared" si="57"/>
        <v>5.8455914134323272E-2</v>
      </c>
    </row>
    <row r="92" spans="18:61" ht="16.5" x14ac:dyDescent="0.3">
      <c r="R92" s="14">
        <v>40.5</v>
      </c>
      <c r="S92" s="5">
        <f t="shared" si="68"/>
        <v>5.2338490789311409</v>
      </c>
      <c r="T92" s="5">
        <f t="shared" si="57"/>
        <v>5.4177016394165278E-2</v>
      </c>
    </row>
    <row r="93" spans="18:61" ht="16.5" x14ac:dyDescent="0.3">
      <c r="R93" s="14">
        <v>41</v>
      </c>
      <c r="S93" s="5">
        <f t="shared" si="68"/>
        <v>5.2838404615442212</v>
      </c>
      <c r="T93" s="5">
        <f t="shared" si="57"/>
        <v>4.9028796167429611E-2</v>
      </c>
    </row>
    <row r="94" spans="18:61" ht="16.5" x14ac:dyDescent="0.3">
      <c r="R94" s="14">
        <v>41.5</v>
      </c>
      <c r="S94" s="5">
        <f t="shared" si="68"/>
        <v>5.3319066712660002</v>
      </c>
      <c r="T94" s="5">
        <f t="shared" si="57"/>
        <v>4.4119823556732385E-2</v>
      </c>
    </row>
    <row r="95" spans="18:61" ht="16.5" x14ac:dyDescent="0.3">
      <c r="R95" s="14">
        <v>42</v>
      </c>
      <c r="S95" s="5">
        <f t="shared" ref="S95:S118" si="72">AL$52*EXP(-EXP(-($N$4+$N$5*BB67)))</f>
        <v>5.3720801086576859</v>
      </c>
      <c r="T95" s="5">
        <f t="shared" si="57"/>
        <v>3.9166063805990525E-2</v>
      </c>
    </row>
    <row r="96" spans="18:61" ht="16.5" x14ac:dyDescent="0.3">
      <c r="R96" s="14">
        <v>42.5</v>
      </c>
      <c r="S96" s="5">
        <f t="shared" si="72"/>
        <v>5.4102387988779812</v>
      </c>
      <c r="T96" s="5">
        <f t="shared" si="57"/>
        <v>3.4543587852048141E-2</v>
      </c>
    </row>
    <row r="97" spans="18:20" ht="16.5" x14ac:dyDescent="0.3">
      <c r="R97" s="14">
        <v>43</v>
      </c>
      <c r="S97" s="5">
        <f t="shared" si="72"/>
        <v>5.4411672843617822</v>
      </c>
      <c r="T97" s="5">
        <f t="shared" si="57"/>
        <v>2.9626131652634502E-2</v>
      </c>
    </row>
    <row r="98" spans="18:20" ht="16.5" x14ac:dyDescent="0.3">
      <c r="R98" s="14">
        <v>43.5</v>
      </c>
      <c r="S98" s="5">
        <f t="shared" si="72"/>
        <v>5.4694910621832502</v>
      </c>
      <c r="T98" s="5">
        <f t="shared" ref="T98:T117" si="73">(S99-S97)/2</f>
        <v>2.525756059573192E-2</v>
      </c>
    </row>
    <row r="99" spans="18:20" ht="16.5" x14ac:dyDescent="0.3">
      <c r="R99" s="14">
        <v>44</v>
      </c>
      <c r="S99" s="5">
        <f t="shared" si="72"/>
        <v>5.491682405553246</v>
      </c>
      <c r="T99" s="5">
        <f t="shared" si="73"/>
        <v>2.0688268999644155E-2</v>
      </c>
    </row>
    <row r="100" spans="18:20" ht="16.5" x14ac:dyDescent="0.3">
      <c r="R100" s="14">
        <v>44.5</v>
      </c>
      <c r="S100" s="5">
        <f t="shared" si="72"/>
        <v>5.5108676001825385</v>
      </c>
      <c r="T100" s="5">
        <f t="shared" si="73"/>
        <v>1.6875502790584029E-2</v>
      </c>
    </row>
    <row r="101" spans="18:20" ht="16.5" x14ac:dyDescent="0.3">
      <c r="R101" s="14">
        <v>45</v>
      </c>
      <c r="S101" s="5">
        <f t="shared" si="72"/>
        <v>5.5254334111344141</v>
      </c>
      <c r="T101" s="5">
        <f t="shared" si="73"/>
        <v>1.3224130301562553E-2</v>
      </c>
    </row>
    <row r="102" spans="18:20" ht="16.5" x14ac:dyDescent="0.3">
      <c r="R102" s="14">
        <v>45.5</v>
      </c>
      <c r="S102" s="5">
        <f t="shared" si="72"/>
        <v>5.5373158607856636</v>
      </c>
      <c r="T102" s="5">
        <f t="shared" si="73"/>
        <v>1.0337707528846884E-2</v>
      </c>
    </row>
    <row r="103" spans="18:20" ht="16.5" x14ac:dyDescent="0.3">
      <c r="R103" s="14">
        <v>46</v>
      </c>
      <c r="S103" s="5">
        <f t="shared" si="72"/>
        <v>5.5461088261921079</v>
      </c>
      <c r="T103" s="5">
        <f t="shared" si="73"/>
        <v>8.1516239533576673E-3</v>
      </c>
    </row>
    <row r="104" spans="18:20" ht="16.5" x14ac:dyDescent="0.3">
      <c r="R104" s="14">
        <v>46.5</v>
      </c>
      <c r="S104" s="5">
        <f t="shared" si="72"/>
        <v>5.553619108692379</v>
      </c>
      <c r="T104" s="5">
        <f t="shared" si="73"/>
        <v>6.3799303516738348E-3</v>
      </c>
    </row>
    <row r="105" spans="18:20" ht="16.5" x14ac:dyDescent="0.3">
      <c r="R105" s="14">
        <v>47</v>
      </c>
      <c r="S105" s="5">
        <f t="shared" si="72"/>
        <v>5.5588686868954555</v>
      </c>
      <c r="T105" s="5">
        <f t="shared" si="73"/>
        <v>4.9142551660610323E-3</v>
      </c>
    </row>
    <row r="106" spans="18:20" ht="16.5" x14ac:dyDescent="0.3">
      <c r="R106" s="14">
        <v>47.5</v>
      </c>
      <c r="S106" s="5">
        <f t="shared" si="72"/>
        <v>5.563447619024501</v>
      </c>
      <c r="T106" s="5">
        <f t="shared" si="73"/>
        <v>3.717374489170755E-3</v>
      </c>
    </row>
    <row r="107" spans="18:20" ht="16.5" x14ac:dyDescent="0.3">
      <c r="R107" s="14">
        <v>48</v>
      </c>
      <c r="S107" s="5">
        <f t="shared" si="72"/>
        <v>5.5663034358737971</v>
      </c>
      <c r="T107" s="5">
        <f t="shared" si="73"/>
        <v>2.7213393487621751E-3</v>
      </c>
    </row>
    <row r="108" spans="18:20" ht="16.5" x14ac:dyDescent="0.3">
      <c r="R108" s="14">
        <v>48.5</v>
      </c>
      <c r="S108" s="5">
        <f t="shared" si="72"/>
        <v>5.5688902977220254</v>
      </c>
      <c r="T108" s="5">
        <f t="shared" si="73"/>
        <v>1.8792301453771643E-3</v>
      </c>
    </row>
    <row r="109" spans="18:20" ht="16.5" x14ac:dyDescent="0.3">
      <c r="R109" s="14">
        <v>49</v>
      </c>
      <c r="S109" s="5">
        <f t="shared" si="72"/>
        <v>5.5700618961645514</v>
      </c>
      <c r="T109" s="5">
        <f t="shared" si="73"/>
        <v>1.0505608275024336E-3</v>
      </c>
    </row>
    <row r="110" spans="18:20" ht="16.5" x14ac:dyDescent="0.3">
      <c r="R110" s="14">
        <v>49.5</v>
      </c>
      <c r="S110" s="5">
        <f t="shared" si="72"/>
        <v>5.5709914193770302</v>
      </c>
      <c r="T110" s="5">
        <f t="shared" si="73"/>
        <v>4.8391363076483174E-4</v>
      </c>
    </row>
    <row r="111" spans="18:20" ht="16.5" x14ac:dyDescent="0.3">
      <c r="R111" s="14">
        <v>50</v>
      </c>
      <c r="S111" s="5">
        <f t="shared" si="72"/>
        <v>5.571029723426081</v>
      </c>
      <c r="T111" s="5">
        <f t="shared" si="73"/>
        <v>1.9975095083335503E-5</v>
      </c>
    </row>
    <row r="112" spans="18:20" ht="16.5" x14ac:dyDescent="0.3">
      <c r="R112" s="14">
        <v>50.5</v>
      </c>
      <c r="S112" s="5">
        <f t="shared" si="72"/>
        <v>5.5710313695671969</v>
      </c>
      <c r="T112" s="5">
        <f t="shared" si="73"/>
        <v>8.2307055793151562E-7</v>
      </c>
    </row>
    <row r="113" spans="18:20" ht="16.5" x14ac:dyDescent="0.3">
      <c r="R113" s="14">
        <v>51</v>
      </c>
      <c r="S113" s="5">
        <f t="shared" si="72"/>
        <v>5.5710313695671969</v>
      </c>
      <c r="T113" s="5">
        <f t="shared" si="73"/>
        <v>0</v>
      </c>
    </row>
    <row r="114" spans="18:20" ht="16.5" x14ac:dyDescent="0.3">
      <c r="R114" s="14">
        <v>51.5</v>
      </c>
      <c r="S114" s="5">
        <f t="shared" si="72"/>
        <v>5.5710313695671969</v>
      </c>
      <c r="T114" s="5">
        <f t="shared" si="73"/>
        <v>0</v>
      </c>
    </row>
    <row r="115" spans="18:20" ht="16.5" x14ac:dyDescent="0.3">
      <c r="R115" s="14">
        <v>52</v>
      </c>
      <c r="S115" s="5">
        <f t="shared" si="72"/>
        <v>5.5710313695671969</v>
      </c>
      <c r="T115" s="5">
        <f t="shared" si="73"/>
        <v>0</v>
      </c>
    </row>
    <row r="116" spans="18:20" ht="16.5" x14ac:dyDescent="0.3">
      <c r="R116" s="14">
        <v>52.5</v>
      </c>
      <c r="S116" s="5">
        <f t="shared" si="72"/>
        <v>5.5710313695671969</v>
      </c>
      <c r="T116" s="5">
        <f t="shared" si="73"/>
        <v>0</v>
      </c>
    </row>
    <row r="117" spans="18:20" ht="16.5" x14ac:dyDescent="0.3">
      <c r="R117" s="14">
        <v>53</v>
      </c>
      <c r="S117" s="5">
        <f t="shared" si="72"/>
        <v>5.5710313695671969</v>
      </c>
      <c r="T117" s="5">
        <f t="shared" si="73"/>
        <v>0</v>
      </c>
    </row>
    <row r="118" spans="18:20" ht="16.5" x14ac:dyDescent="0.3">
      <c r="R118" s="14">
        <v>53.5</v>
      </c>
      <c r="S118" s="5">
        <f t="shared" si="72"/>
        <v>5.5710313695671969</v>
      </c>
      <c r="T118" s="5"/>
    </row>
  </sheetData>
  <sheetProtection sheet="1" objects="1" scenarios="1"/>
  <mergeCells count="15">
    <mergeCell ref="B3:E3"/>
    <mergeCell ref="BB1:BC1"/>
    <mergeCell ref="BE1:BF1"/>
    <mergeCell ref="BH1:BI1"/>
    <mergeCell ref="F3:I3"/>
    <mergeCell ref="A1:B1"/>
    <mergeCell ref="AU38:AW38"/>
    <mergeCell ref="AQ2:AW2"/>
    <mergeCell ref="AQ13:AW13"/>
    <mergeCell ref="Y2:Z2"/>
    <mergeCell ref="AB2:AC2"/>
    <mergeCell ref="AO38:AQ38"/>
    <mergeCell ref="AR38:AT38"/>
    <mergeCell ref="Y14:Z14"/>
    <mergeCell ref="AB14:AC14"/>
  </mergeCells>
  <phoneticPr fontId="0" type="noConversion"/>
  <dataValidations count="1">
    <dataValidation type="whole" allowBlank="1" showInputMessage="1" showErrorMessage="1" error="Values allowed are only_x000a_1 - Yes (point included in model)_x000a_0 or blank - No (point excluded)" sqref="I5:I12 E5:E12">
      <formula1>0</formula1>
      <formula2>1</formula2>
    </dataValidation>
  </dataValidations>
  <pageMargins left="0.75" right="0.75" top="1" bottom="1" header="0.5" footer="0.5"/>
  <pageSetup paperSize="9" orientation="landscape" copies="9"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79"/>
  <sheetViews>
    <sheetView showGridLines="0" showRowColHeaders="0" zoomScale="85" zoomScaleNormal="85" workbookViewId="0">
      <selection activeCell="C3" sqref="C3"/>
    </sheetView>
  </sheetViews>
  <sheetFormatPr defaultColWidth="8.85546875" defaultRowHeight="12.75" x14ac:dyDescent="0.2"/>
  <sheetData>
    <row r="1" spans="1:1" x14ac:dyDescent="0.2">
      <c r="A1" t="s">
        <v>64</v>
      </c>
    </row>
    <row r="40" spans="1:1" x14ac:dyDescent="0.2">
      <c r="A40" t="s">
        <v>65</v>
      </c>
    </row>
    <row r="79" spans="1:1" x14ac:dyDescent="0.2">
      <c r="A79" t="s">
        <v>66</v>
      </c>
    </row>
  </sheetData>
  <sheetProtection sheet="1" objects="1" scenarios="1" selectLockedCells="1" selectUnlockedCells="1"/>
  <phoneticPr fontId="0" type="noConversion"/>
  <pageMargins left="0.75" right="0.75" top="1" bottom="1" header="0.5" footer="0.5"/>
  <pageSetup paperSize="9" scale="49" orientation="portrait" copies="9"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Introduction</vt:lpstr>
      <vt:lpstr>Méthode</vt:lpstr>
      <vt:lpstr>Graphiques diagnostiques</vt:lpstr>
      <vt:lpstr>age_definition</vt:lpstr>
      <vt:lpstr>Intersurvey_period</vt:lpstr>
      <vt:lpstr>Méthode!Print_Area</vt:lpstr>
    </vt:vector>
  </TitlesOfParts>
  <Company>University of Cape Town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Tom Moultrie</dc:creator>
  <cp:lastModifiedBy>Anne</cp:lastModifiedBy>
  <cp:lastPrinted>2007-08-13T06:10:36Z</cp:lastPrinted>
  <dcterms:created xsi:type="dcterms:W3CDTF">2002-08-06T12:17:02Z</dcterms:created>
  <dcterms:modified xsi:type="dcterms:W3CDTF">2016-12-02T15:38:17Z</dcterms:modified>
</cp:coreProperties>
</file>