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01404747\Dropbox\TDE_Word_Excel\Translated spreadsheets\"/>
    </mc:Choice>
  </mc:AlternateContent>
  <bookViews>
    <workbookView xWindow="0" yWindow="0" windowWidth="16485" windowHeight="9315"/>
  </bookViews>
  <sheets>
    <sheet name="Introduction" sheetId="4" r:id="rId1"/>
    <sheet name="Méthode" sheetId="1" r:id="rId2"/>
    <sheet name="Graphiques diagnostiques" sheetId="2" r:id="rId3"/>
    <sheet name="Graphiques résultats" sheetId="5" r:id="rId4"/>
  </sheets>
  <externalReferences>
    <externalReference r:id="rId5"/>
    <externalReference r:id="rId6"/>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hidden="1">#REF!</definedName>
    <definedName name="_Order1" hidden="1">255</definedName>
    <definedName name="_Sort" hidden="1">#REF!</definedName>
    <definedName name="Age_definition">Méthode!$BI$5:$BI$8</definedName>
    <definedName name="ALPHAC">#REF!</definedName>
    <definedName name="ALPHAF">#REF!</definedName>
    <definedName name="ALPHAP">#REF!</definedName>
    <definedName name="BETAC">#REF!</definedName>
    <definedName name="BETAF">#REF!</definedName>
    <definedName name="BETAP">#REF!</definedName>
    <definedName name="CCONST">#REF!</definedName>
    <definedName name="CINTERCEPT">#REF!</definedName>
    <definedName name="CSLOP">#REF!</definedName>
    <definedName name="FCONST">#REF!</definedName>
    <definedName name="FINTERCEPT">#REF!</definedName>
    <definedName name="FPTS">#REF!</definedName>
    <definedName name="FSLOP">#REF!</definedName>
    <definedName name="graph1" hidden="1">[2]GOMP!$Z$26:$Z$42</definedName>
    <definedName name="graph10" hidden="1">[2]GOMP!$Y$3:$Y$9</definedName>
    <definedName name="graph11" hidden="1">[2]GOMP!$AE$26:$AE$49</definedName>
    <definedName name="graph12" hidden="1">[2]GOMP!$AE$26:$AE$49</definedName>
    <definedName name="graph13" hidden="1">[2]GOMP!$AB$26:$AB$42</definedName>
    <definedName name="graph14" hidden="1">[2]GOMP!$AB$26:$AB$42</definedName>
    <definedName name="graph15" hidden="1">[2]GOMP!$V$3:$V$19</definedName>
    <definedName name="graph16" hidden="1">[2]GOMP!$V$3:$V$9</definedName>
    <definedName name="graph17" hidden="1">[2]GOMP!$AF$26:$AF$49</definedName>
    <definedName name="graph18" hidden="1">[2]GOMP!$AF$26:$AF$49</definedName>
    <definedName name="graph19" hidden="1">[2]GOMP!$Y$26:$Y$60</definedName>
    <definedName name="graph1a" hidden="1">#REF!</definedName>
    <definedName name="graph2" hidden="1">[2]GOMP!$Z$26:$Z$42</definedName>
    <definedName name="graph20" hidden="1">[2]GOMP!$Y$26:$Y$60</definedName>
    <definedName name="graph21" hidden="1">[2]GOMP!$W$3:$W$19</definedName>
    <definedName name="graph3" hidden="1">[2]GOMP!$X$3:$X$18</definedName>
    <definedName name="graph4" hidden="1">[2]GOMP!$AC$26:$AC$42</definedName>
    <definedName name="graph5" hidden="1">[2]GOMP!$AC$26:$AC$42</definedName>
    <definedName name="graph6" hidden="1">[2]GOMP!$Y$3:$Y$19</definedName>
    <definedName name="graph7" hidden="1">[2]GOMP!$AA$26:$AA$60</definedName>
    <definedName name="graph8" hidden="1">[2]GOMP!$AA$26:$AA$60</definedName>
    <definedName name="graph9" hidden="1">[2]GOMP!$X$3:$X$9</definedName>
    <definedName name="HALF">#REF!</definedName>
    <definedName name="IMPORT">#REF!</definedName>
    <definedName name="INPUT">#REF!</definedName>
    <definedName name="LEGB">#REF!</definedName>
    <definedName name="LEGC">#REF!</definedName>
    <definedName name="LEVELC">#REF!</definedName>
    <definedName name="LEVELF">#REF!</definedName>
    <definedName name="LEVELP">#REF!</definedName>
    <definedName name="MAXF">#REF!</definedName>
    <definedName name="MAXP">#REF!</definedName>
    <definedName name="MINF">#REF!</definedName>
    <definedName name="MINP">#REF!</definedName>
    <definedName name="model_selection">Méthode!$BI$20:$BI$21</definedName>
    <definedName name="NC">#REF!</definedName>
    <definedName name="NF">#REF!</definedName>
    <definedName name="NONE">#REF!</definedName>
    <definedName name="NP">#REF!</definedName>
    <definedName name="ONE_AHALF">#REF!</definedName>
    <definedName name="PCONST">#REF!</definedName>
    <definedName name="PINTERCEPT">#REF!</definedName>
    <definedName name="PPTS">#REF!</definedName>
    <definedName name="_xlnm.Print_Area" localSheetId="1">Méthode!$A$1:$L$17</definedName>
    <definedName name="PSLOP">#REF!</definedName>
    <definedName name="SHIFT">#REF!</definedName>
    <definedName name="TITLE">#REF!</definedName>
    <definedName name="WHICH">#REF!</definedName>
    <definedName name="WHOLE">#REF!</definedName>
    <definedName name="XC">#REF!</definedName>
    <definedName name="XF">#REF!</definedName>
    <definedName name="XP">#REF!</definedName>
    <definedName name="XXC">#REF!</definedName>
    <definedName name="XXF">#REF!</definedName>
    <definedName name="XXP">#REF!</definedName>
    <definedName name="XYC">#REF!</definedName>
    <definedName name="XYF">#REF!</definedName>
    <definedName name="XYP">#REF!</definedName>
    <definedName name="YC">#REF!</definedName>
    <definedName name="YF">#REF!</definedName>
    <definedName name="YP">#REF!</definedName>
    <definedName name="YYC">#REF!</definedName>
    <definedName name="YYF">#REF!</definedName>
    <definedName name="YYP">#REF!</definedName>
  </definedNames>
  <calcPr calcId="152511"/>
</workbook>
</file>

<file path=xl/calcChain.xml><?xml version="1.0" encoding="utf-8"?>
<calcChain xmlns="http://schemas.openxmlformats.org/spreadsheetml/2006/main">
  <c r="AN4" i="1" l="1"/>
  <c r="BJ5" i="1"/>
  <c r="AE64" i="1" l="1"/>
  <c r="AE63" i="1"/>
  <c r="AE62" i="1"/>
  <c r="AE61" i="1"/>
  <c r="AE60" i="1"/>
  <c r="AE59" i="1"/>
  <c r="AE58" i="1"/>
  <c r="AE57" i="1"/>
  <c r="P25" i="1" l="1"/>
  <c r="R13" i="1" l="1"/>
  <c r="AN50" i="1"/>
  <c r="AP50" i="1" s="1"/>
  <c r="AN49" i="1"/>
  <c r="AP49" i="1" s="1"/>
  <c r="AN48" i="1"/>
  <c r="AP48" i="1" s="1"/>
  <c r="AN47" i="1"/>
  <c r="AP47" i="1" s="1"/>
  <c r="AN46" i="1"/>
  <c r="AP46" i="1" s="1"/>
  <c r="AN45" i="1"/>
  <c r="AP45" i="1" s="1"/>
  <c r="AN44" i="1"/>
  <c r="AP44" i="1" s="1"/>
  <c r="AN43" i="1"/>
  <c r="AN36" i="1"/>
  <c r="AO50" i="1" l="1"/>
  <c r="AL12" i="1"/>
  <c r="AL9" i="1"/>
  <c r="AL13" i="1"/>
  <c r="AL10" i="1"/>
  <c r="AL7" i="1"/>
  <c r="AL11" i="1"/>
  <c r="AL8" i="1"/>
  <c r="AR47" i="1"/>
  <c r="AR44" i="1"/>
  <c r="AR48" i="1"/>
  <c r="AR45" i="1"/>
  <c r="AR49" i="1"/>
  <c r="AR46" i="1"/>
  <c r="AR50" i="1"/>
  <c r="AP43" i="1"/>
  <c r="AL6" i="1" s="1"/>
  <c r="AR43" i="1" l="1"/>
  <c r="BJ19" i="1"/>
  <c r="W25" i="1" l="1"/>
  <c r="W18" i="1"/>
  <c r="V18" i="1"/>
  <c r="V25" i="1"/>
  <c r="W24" i="1"/>
  <c r="V24" i="1"/>
  <c r="BA83" i="1"/>
  <c r="AQ50" i="1" s="1"/>
  <c r="BA82" i="1"/>
  <c r="AS50" i="1" s="1"/>
  <c r="BA81" i="1"/>
  <c r="BA80" i="1"/>
  <c r="BA79" i="1"/>
  <c r="BA78" i="1"/>
  <c r="BA77" i="1"/>
  <c r="BA76" i="1"/>
  <c r="BA75" i="1"/>
  <c r="BA74" i="1"/>
  <c r="AO49" i="1" s="1"/>
  <c r="BA73" i="1"/>
  <c r="AQ49" i="1" s="1"/>
  <c r="BA72" i="1"/>
  <c r="AS49" i="1" s="1"/>
  <c r="BA71" i="1"/>
  <c r="BA70" i="1"/>
  <c r="BA69" i="1"/>
  <c r="BA68" i="1"/>
  <c r="BA67" i="1"/>
  <c r="BA66" i="1"/>
  <c r="BA65" i="1"/>
  <c r="BA64" i="1"/>
  <c r="AO48" i="1" s="1"/>
  <c r="BA63" i="1"/>
  <c r="AQ48" i="1" s="1"/>
  <c r="BA62" i="1"/>
  <c r="AS48" i="1" s="1"/>
  <c r="BA61" i="1"/>
  <c r="BA60" i="1"/>
  <c r="BA59" i="1"/>
  <c r="BA58" i="1"/>
  <c r="BA57" i="1"/>
  <c r="BA56" i="1"/>
  <c r="BA55" i="1"/>
  <c r="BA54" i="1"/>
  <c r="AO47" i="1" s="1"/>
  <c r="BA53" i="1"/>
  <c r="AQ47" i="1" s="1"/>
  <c r="BA52" i="1"/>
  <c r="AS47" i="1" s="1"/>
  <c r="BA51" i="1"/>
  <c r="BA50" i="1"/>
  <c r="BA49" i="1"/>
  <c r="BA48" i="1"/>
  <c r="BA47" i="1"/>
  <c r="BA46" i="1"/>
  <c r="BA45" i="1"/>
  <c r="BA44" i="1"/>
  <c r="AO46" i="1" s="1"/>
  <c r="BA43" i="1"/>
  <c r="AQ46" i="1" s="1"/>
  <c r="BA42" i="1"/>
  <c r="AS46" i="1" s="1"/>
  <c r="BA41" i="1"/>
  <c r="BA40" i="1"/>
  <c r="BA39" i="1"/>
  <c r="BA38" i="1"/>
  <c r="BA37" i="1"/>
  <c r="BA36" i="1"/>
  <c r="BA35" i="1"/>
  <c r="BA34" i="1"/>
  <c r="AO45" i="1" s="1"/>
  <c r="BA33" i="1"/>
  <c r="AQ45" i="1" s="1"/>
  <c r="BA32" i="1"/>
  <c r="AS45" i="1" s="1"/>
  <c r="BA31" i="1"/>
  <c r="BA30" i="1"/>
  <c r="BA29" i="1"/>
  <c r="BA28" i="1"/>
  <c r="BA27" i="1"/>
  <c r="BA26" i="1"/>
  <c r="BA25" i="1"/>
  <c r="BA24" i="1"/>
  <c r="AO44" i="1" s="1"/>
  <c r="BA23" i="1"/>
  <c r="AQ44" i="1" s="1"/>
  <c r="BA22" i="1"/>
  <c r="AS44" i="1" s="1"/>
  <c r="BA21" i="1"/>
  <c r="BA20" i="1"/>
  <c r="BA19" i="1"/>
  <c r="BA18" i="1"/>
  <c r="BA17" i="1"/>
  <c r="BA16" i="1"/>
  <c r="BA15" i="1"/>
  <c r="BA14" i="1"/>
  <c r="AO43" i="1" s="1"/>
  <c r="BA13" i="1"/>
  <c r="AQ43" i="1" s="1"/>
  <c r="BA12" i="1"/>
  <c r="AS43" i="1" s="1"/>
  <c r="BA11" i="1"/>
  <c r="BA10" i="1"/>
  <c r="BA9" i="1"/>
  <c r="BA8" i="1"/>
  <c r="BA7" i="1"/>
  <c r="BD20" i="1" l="1"/>
  <c r="BD24" i="1"/>
  <c r="BD28" i="1"/>
  <c r="BD32" i="1"/>
  <c r="BD36" i="1"/>
  <c r="BD40" i="1"/>
  <c r="BD44" i="1"/>
  <c r="BD48" i="1"/>
  <c r="BD52" i="1"/>
  <c r="BD56" i="1"/>
  <c r="BD60" i="1"/>
  <c r="BD64" i="1"/>
  <c r="BD68" i="1"/>
  <c r="BD72" i="1"/>
  <c r="BD76" i="1"/>
  <c r="BD80" i="1"/>
  <c r="BD84" i="1"/>
  <c r="BD88" i="1"/>
  <c r="BD17" i="1"/>
  <c r="BD25" i="1"/>
  <c r="BD29" i="1"/>
  <c r="BD37" i="1"/>
  <c r="BD41" i="1"/>
  <c r="BD49" i="1"/>
  <c r="BD53" i="1"/>
  <c r="BD61" i="1"/>
  <c r="BD69" i="1"/>
  <c r="BD18" i="1"/>
  <c r="BD22" i="1"/>
  <c r="BD26" i="1"/>
  <c r="BD30" i="1"/>
  <c r="BD34" i="1"/>
  <c r="BD38" i="1"/>
  <c r="BD42" i="1"/>
  <c r="BD46" i="1"/>
  <c r="BD50" i="1"/>
  <c r="BD54" i="1"/>
  <c r="BD58" i="1"/>
  <c r="BD62" i="1"/>
  <c r="BD66" i="1"/>
  <c r="BD70" i="1"/>
  <c r="BD74" i="1"/>
  <c r="BD78" i="1"/>
  <c r="BD82" i="1"/>
  <c r="BD90" i="1"/>
  <c r="BD19" i="1"/>
  <c r="BD23" i="1"/>
  <c r="BD27" i="1"/>
  <c r="BD31" i="1"/>
  <c r="BD35" i="1"/>
  <c r="BD39" i="1"/>
  <c r="BD43" i="1"/>
  <c r="BD47" i="1"/>
  <c r="BD51" i="1"/>
  <c r="BD55" i="1"/>
  <c r="BD59" i="1"/>
  <c r="BD63" i="1"/>
  <c r="BD67" i="1"/>
  <c r="BD71" i="1"/>
  <c r="BD75" i="1"/>
  <c r="BD79" i="1"/>
  <c r="BD83" i="1"/>
  <c r="BD91" i="1"/>
  <c r="BD21" i="1"/>
  <c r="BD33" i="1"/>
  <c r="BD45" i="1"/>
  <c r="BD57" i="1"/>
  <c r="BD65" i="1"/>
  <c r="BD73" i="1"/>
  <c r="BD77" i="1"/>
  <c r="BD81" i="1"/>
  <c r="BD85" i="1"/>
  <c r="BD15" i="1"/>
  <c r="BD16" i="1"/>
  <c r="BD86" i="1"/>
  <c r="BD87" i="1"/>
  <c r="BD89" i="1"/>
  <c r="AU50" i="1" l="1"/>
  <c r="AN35" i="1" s="1"/>
  <c r="AU49" i="1"/>
  <c r="AN34" i="1" s="1"/>
  <c r="AU48" i="1"/>
  <c r="AN33" i="1" s="1"/>
  <c r="AU47" i="1"/>
  <c r="AN32" i="1" s="1"/>
  <c r="AU46" i="1"/>
  <c r="AN31" i="1" s="1"/>
  <c r="AU45" i="1"/>
  <c r="AN30" i="1" s="1"/>
  <c r="AU44" i="1"/>
  <c r="AN29" i="1" s="1"/>
  <c r="AU43" i="1"/>
  <c r="AN28" i="1" s="1"/>
  <c r="AM51" i="1"/>
  <c r="AM50" i="1"/>
  <c r="AM49" i="1"/>
  <c r="AM48" i="1"/>
  <c r="AM47" i="1"/>
  <c r="AM46" i="1"/>
  <c r="AM45" i="1"/>
  <c r="AM44" i="1"/>
  <c r="AM43" i="1"/>
  <c r="AM24" i="1" l="1"/>
  <c r="AM13" i="1"/>
  <c r="AM18" i="1"/>
  <c r="AM7" i="1"/>
  <c r="AM22" i="1"/>
  <c r="AM11" i="1"/>
  <c r="AM19" i="1"/>
  <c r="AM8" i="1"/>
  <c r="AM23" i="1"/>
  <c r="AM12" i="1"/>
  <c r="AM20" i="1"/>
  <c r="AM9" i="1"/>
  <c r="AM17" i="1"/>
  <c r="AM6" i="1"/>
  <c r="AM21" i="1"/>
  <c r="AM10" i="1"/>
  <c r="AC52" i="1"/>
  <c r="AC51" i="1"/>
  <c r="AC50" i="1"/>
  <c r="AC49" i="1"/>
  <c r="AC48" i="1"/>
  <c r="AC47" i="1"/>
  <c r="AC46" i="1"/>
  <c r="AC45" i="1"/>
  <c r="D16" i="1" l="1"/>
  <c r="Q25" i="1"/>
  <c r="O7" i="1"/>
  <c r="O6" i="1"/>
  <c r="O8" i="1"/>
  <c r="O9" i="1"/>
  <c r="O10" i="1"/>
  <c r="O11" i="1"/>
  <c r="O12" i="1"/>
  <c r="V13" i="1"/>
  <c r="P19" i="1"/>
  <c r="Q19" i="1" s="1"/>
  <c r="P20" i="1"/>
  <c r="Q20" i="1" s="1"/>
  <c r="P21" i="1"/>
  <c r="Q21" i="1" s="1"/>
  <c r="O13" i="1"/>
  <c r="P18" i="1"/>
  <c r="Q18" i="1" s="1"/>
  <c r="P24" i="1"/>
  <c r="Q24" i="1" s="1"/>
  <c r="P23" i="1"/>
  <c r="Q23" i="1" s="1"/>
  <c r="P22" i="1"/>
  <c r="Q22" i="1" s="1"/>
  <c r="Q13" i="1"/>
  <c r="AL28" i="1"/>
  <c r="Z25" i="1" l="1"/>
  <c r="AA25" i="1"/>
  <c r="S13" i="1"/>
  <c r="P8" i="1"/>
  <c r="Q8" i="1" s="1"/>
  <c r="Y25" i="1"/>
  <c r="Y13" i="1"/>
  <c r="P10" i="1"/>
  <c r="Q10" i="1" s="1"/>
  <c r="P7" i="1"/>
  <c r="Q7" i="1" s="1"/>
  <c r="P6" i="1"/>
  <c r="Q6" i="1" s="1"/>
  <c r="P11" i="1"/>
  <c r="Q11" i="1" s="1"/>
  <c r="W13" i="1"/>
  <c r="Z13" i="1" s="1"/>
  <c r="P9" i="1"/>
  <c r="Q9" i="1" s="1"/>
  <c r="P12" i="1"/>
  <c r="Q12" i="1" s="1"/>
  <c r="N13" i="1" l="1"/>
  <c r="AC29" i="1"/>
  <c r="N11" i="1"/>
  <c r="AC27" i="1"/>
  <c r="N12" i="1"/>
  <c r="AC28" i="1"/>
  <c r="AC26" i="1"/>
  <c r="N10" i="1"/>
  <c r="N9" i="1"/>
  <c r="AC25" i="1"/>
  <c r="N7" i="1"/>
  <c r="AC23" i="1"/>
  <c r="N8" i="1"/>
  <c r="AC24" i="1"/>
  <c r="AC22" i="1"/>
  <c r="N6" i="1"/>
  <c r="AN9" i="1"/>
  <c r="AD25" i="1" s="1"/>
  <c r="AO9" i="1"/>
  <c r="AP9" i="1" s="1"/>
  <c r="AN13" i="1"/>
  <c r="AD29" i="1" s="1"/>
  <c r="AO13" i="1"/>
  <c r="AP13" i="1" s="1"/>
  <c r="AN20" i="1"/>
  <c r="AO20" i="1"/>
  <c r="AP20" i="1" s="1"/>
  <c r="AN24" i="1"/>
  <c r="AP35" i="1"/>
  <c r="AQ35" i="1" s="1"/>
  <c r="AO35" i="1"/>
  <c r="AN8" i="1"/>
  <c r="AD24" i="1" s="1"/>
  <c r="AO8" i="1"/>
  <c r="AP8" i="1" s="1"/>
  <c r="AN12" i="1"/>
  <c r="AD28" i="1" s="1"/>
  <c r="AO12" i="1"/>
  <c r="AP12" i="1" s="1"/>
  <c r="AN19" i="1"/>
  <c r="AO19" i="1"/>
  <c r="AP19" i="1" s="1"/>
  <c r="AN23" i="1"/>
  <c r="AO23" i="1"/>
  <c r="AP23" i="1" s="1"/>
  <c r="AP30" i="1"/>
  <c r="AQ30" i="1" s="1"/>
  <c r="AO30" i="1"/>
  <c r="AP34" i="1"/>
  <c r="AQ34" i="1" s="1"/>
  <c r="AO34" i="1"/>
  <c r="AO7" i="1"/>
  <c r="AP7" i="1" s="1"/>
  <c r="AN7" i="1"/>
  <c r="AD23" i="1" s="1"/>
  <c r="AN11" i="1"/>
  <c r="AO11" i="1"/>
  <c r="AP11" i="1" s="1"/>
  <c r="AN18" i="1"/>
  <c r="AR18" i="1" s="1"/>
  <c r="AO18" i="1"/>
  <c r="AP18" i="1" s="1"/>
  <c r="AO22" i="1"/>
  <c r="AP22" i="1" s="1"/>
  <c r="AN22" i="1"/>
  <c r="AP29" i="1"/>
  <c r="AQ29" i="1" s="1"/>
  <c r="AO29" i="1"/>
  <c r="AP33" i="1"/>
  <c r="AQ33" i="1" s="1"/>
  <c r="AO33" i="1"/>
  <c r="AO6" i="1"/>
  <c r="AP6" i="1" s="1"/>
  <c r="AN6" i="1"/>
  <c r="AD22" i="1" s="1"/>
  <c r="AN10" i="1"/>
  <c r="AO10" i="1"/>
  <c r="AP10" i="1" s="1"/>
  <c r="AN17" i="1"/>
  <c r="AD34" i="1" s="1"/>
  <c r="AO17" i="1"/>
  <c r="AP17" i="1" s="1"/>
  <c r="AN21" i="1"/>
  <c r="AO21" i="1"/>
  <c r="AP21" i="1" s="1"/>
  <c r="AP28" i="1"/>
  <c r="AQ28" i="1" s="1"/>
  <c r="AO28" i="1"/>
  <c r="AD45" i="1" s="1"/>
  <c r="AP32" i="1"/>
  <c r="AQ32" i="1" s="1"/>
  <c r="AO32" i="1"/>
  <c r="AP31" i="1"/>
  <c r="AQ31" i="1" s="1"/>
  <c r="AO31" i="1"/>
  <c r="AQ11" i="1" l="1"/>
  <c r="AD27" i="1"/>
  <c r="AQ10" i="1"/>
  <c r="AD26" i="1"/>
  <c r="AR19" i="1"/>
  <c r="AR8" i="1"/>
  <c r="AR20" i="1"/>
  <c r="AR9" i="1"/>
  <c r="AR7" i="1"/>
  <c r="AQ12" i="1"/>
  <c r="AQ8" i="1"/>
  <c r="AQ6" i="1"/>
  <c r="AQ7" i="1"/>
  <c r="AQ13" i="1"/>
  <c r="AT13" i="1" s="1"/>
  <c r="T13" i="1" s="1"/>
  <c r="AQ9" i="1"/>
  <c r="AS9" i="1" s="1"/>
  <c r="AR30" i="1"/>
  <c r="AD48" i="1"/>
  <c r="AD49" i="1"/>
  <c r="AR31" i="1"/>
  <c r="AR32" i="1"/>
  <c r="AD50" i="1"/>
  <c r="AD39" i="1"/>
  <c r="AQ21" i="1"/>
  <c r="AD51" i="1"/>
  <c r="AR33" i="1"/>
  <c r="AD47" i="1"/>
  <c r="AR29" i="1"/>
  <c r="AR35" i="1"/>
  <c r="AU35" i="1" s="1"/>
  <c r="T25" i="1" s="1"/>
  <c r="AD52" i="1"/>
  <c r="AR34" i="1"/>
  <c r="AD38" i="1"/>
  <c r="AQ20" i="1"/>
  <c r="AD35" i="1"/>
  <c r="AQ17" i="1"/>
  <c r="AD40" i="1"/>
  <c r="AQ22" i="1"/>
  <c r="AD36" i="1"/>
  <c r="AQ18" i="1"/>
  <c r="AD41" i="1"/>
  <c r="AQ23" i="1"/>
  <c r="AT23" i="1" s="1"/>
  <c r="AD37" i="1"/>
  <c r="AQ19" i="1"/>
  <c r="AS19" i="1" s="1"/>
  <c r="AD46" i="1"/>
  <c r="AR28" i="1"/>
  <c r="R9" i="1" l="1"/>
  <c r="S9" i="1" s="1"/>
  <c r="V9" i="1" s="1"/>
  <c r="Y9" i="1" s="1"/>
  <c r="AT35" i="1"/>
  <c r="R25" i="1" s="1"/>
  <c r="S25" i="1" s="1"/>
  <c r="AT29" i="1"/>
  <c r="R19" i="1" s="1"/>
  <c r="AU29" i="1"/>
  <c r="T19" i="1" s="1"/>
  <c r="W19" i="1" s="1"/>
  <c r="AS29" i="1"/>
  <c r="AT6" i="1"/>
  <c r="T6" i="1" s="1"/>
  <c r="AS6" i="1"/>
  <c r="AT21" i="1"/>
  <c r="AS21" i="1"/>
  <c r="AU28" i="1"/>
  <c r="T18" i="1" s="1"/>
  <c r="AT28" i="1"/>
  <c r="R18" i="1" s="1"/>
  <c r="AT12" i="1"/>
  <c r="T12" i="1" s="1"/>
  <c r="AS12" i="1"/>
  <c r="AT7" i="1"/>
  <c r="T7" i="1" s="1"/>
  <c r="AS7" i="1"/>
  <c r="AT11" i="1"/>
  <c r="T11" i="1" s="1"/>
  <c r="AS11" i="1"/>
  <c r="AS18" i="1"/>
  <c r="AT18" i="1"/>
  <c r="AT22" i="1"/>
  <c r="AS22" i="1"/>
  <c r="AT17" i="1"/>
  <c r="AS17" i="1"/>
  <c r="AT9" i="1"/>
  <c r="AT20" i="1"/>
  <c r="AU34" i="1"/>
  <c r="T24" i="1" s="1"/>
  <c r="AT34" i="1"/>
  <c r="R24" i="1" s="1"/>
  <c r="S24" i="1" s="1"/>
  <c r="AU32" i="1"/>
  <c r="T22" i="1" s="1"/>
  <c r="W22" i="1" s="1"/>
  <c r="AT32" i="1"/>
  <c r="R22" i="1" s="1"/>
  <c r="S22" i="1" s="1"/>
  <c r="V22" i="1" s="1"/>
  <c r="AU30" i="1"/>
  <c r="T20" i="1" s="1"/>
  <c r="W20" i="1" s="1"/>
  <c r="AS30" i="1"/>
  <c r="AT30" i="1"/>
  <c r="R20" i="1" s="1"/>
  <c r="S20" i="1" s="1"/>
  <c r="V20" i="1" s="1"/>
  <c r="AS20" i="1"/>
  <c r="AS23" i="1"/>
  <c r="AT8" i="1"/>
  <c r="T8" i="1" s="1"/>
  <c r="AS8" i="1"/>
  <c r="AT19" i="1"/>
  <c r="AT10" i="1"/>
  <c r="T10" i="1" s="1"/>
  <c r="AS10" i="1"/>
  <c r="AU33" i="1"/>
  <c r="T23" i="1" s="1"/>
  <c r="W23" i="1" s="1"/>
  <c r="AT33" i="1"/>
  <c r="R23" i="1" s="1"/>
  <c r="S23" i="1" s="1"/>
  <c r="V23" i="1" s="1"/>
  <c r="AS31" i="1"/>
  <c r="AU31" i="1"/>
  <c r="T21" i="1" s="1"/>
  <c r="W21" i="1" s="1"/>
  <c r="AT31" i="1"/>
  <c r="R21" i="1" s="1"/>
  <c r="S21" i="1" s="1"/>
  <c r="V21" i="1" s="1"/>
  <c r="AA18" i="1" l="1"/>
  <c r="S18" i="1"/>
  <c r="S19" i="1"/>
  <c r="V19" i="1" s="1"/>
  <c r="Z19" i="1" s="1"/>
  <c r="R10" i="1"/>
  <c r="S10" i="1" s="1"/>
  <c r="V10" i="1" s="1"/>
  <c r="R11" i="1"/>
  <c r="S11" i="1" s="1"/>
  <c r="V11" i="1" s="1"/>
  <c r="Y11" i="1" s="1"/>
  <c r="R12" i="1"/>
  <c r="S12" i="1" s="1"/>
  <c r="V12" i="1" s="1"/>
  <c r="R8" i="1"/>
  <c r="S8" i="1" s="1"/>
  <c r="V8" i="1" s="1"/>
  <c r="Y8" i="1" s="1"/>
  <c r="T9" i="1"/>
  <c r="W9" i="1" s="1"/>
  <c r="Z9" i="1" s="1"/>
  <c r="R7" i="1"/>
  <c r="S7" i="1" s="1"/>
  <c r="V7" i="1" s="1"/>
  <c r="R6" i="1"/>
  <c r="S6" i="1" s="1"/>
  <c r="V6" i="1" s="1"/>
  <c r="AA6" i="1" s="1"/>
  <c r="Y18" i="1"/>
  <c r="Z18" i="1"/>
  <c r="Y24" i="1"/>
  <c r="Z24" i="1"/>
  <c r="AS37" i="1"/>
  <c r="AF4" i="1" s="1"/>
  <c r="Y21" i="1"/>
  <c r="Z21" i="1"/>
  <c r="Y20" i="1"/>
  <c r="Z20" i="1"/>
  <c r="AR14" i="1"/>
  <c r="AE4" i="1" s="1"/>
  <c r="Y23" i="1"/>
  <c r="Z23" i="1"/>
  <c r="Y22" i="1"/>
  <c r="Z22" i="1"/>
  <c r="AR25" i="1"/>
  <c r="AE5" i="1" s="1"/>
  <c r="Y19" i="1" l="1"/>
  <c r="AF12" i="1" s="1"/>
  <c r="W6" i="1"/>
  <c r="Z6" i="1" s="1"/>
  <c r="Y6" i="1"/>
  <c r="W12" i="1"/>
  <c r="Z12" i="1" s="1"/>
  <c r="Y12" i="1"/>
  <c r="Y7" i="1"/>
  <c r="W7" i="1"/>
  <c r="Z7" i="1" s="1"/>
  <c r="W10" i="1"/>
  <c r="Z10" i="1" s="1"/>
  <c r="Y10" i="1"/>
  <c r="W11" i="1"/>
  <c r="Z11" i="1" s="1"/>
  <c r="W8" i="1"/>
  <c r="Z8" i="1" s="1"/>
  <c r="AF5" i="1"/>
  <c r="AF13" i="1"/>
  <c r="AF11" i="1"/>
  <c r="AF10" i="1"/>
  <c r="AD4" i="1"/>
  <c r="AF8" i="1" l="1"/>
  <c r="AF16" i="1" s="1"/>
  <c r="AF17" i="1" s="1"/>
  <c r="AF18" i="1" s="1"/>
  <c r="AE8" i="1"/>
  <c r="AE11" i="1"/>
  <c r="AD11" i="1" s="1"/>
  <c r="AE10" i="1"/>
  <c r="AD10" i="1" s="1"/>
  <c r="AE13" i="1"/>
  <c r="AD13" i="1" s="1"/>
  <c r="AE12" i="1"/>
  <c r="AD12" i="1" s="1"/>
  <c r="AD5" i="1"/>
  <c r="AD8" i="1" l="1"/>
  <c r="AD16" i="1" s="1"/>
  <c r="AH16" i="1" s="1"/>
  <c r="K8" i="1" s="1"/>
  <c r="AE16" i="1"/>
  <c r="AE17" i="1" s="1"/>
  <c r="AE18" i="1" s="1"/>
  <c r="M8" i="1" l="1"/>
  <c r="AD17" i="1"/>
  <c r="AD18" i="1" s="1"/>
  <c r="AH17" i="1" l="1"/>
  <c r="AA24" i="1" s="1"/>
  <c r="AH18" i="1"/>
  <c r="AE29" i="1" s="1"/>
  <c r="AF29" i="1" s="1"/>
  <c r="AA12" i="1" l="1"/>
  <c r="AA13" i="1"/>
  <c r="AA22" i="1"/>
  <c r="AA23" i="1"/>
  <c r="AA19" i="1"/>
  <c r="AA11" i="1"/>
  <c r="AA10" i="1"/>
  <c r="AA21" i="1"/>
  <c r="AA9" i="1"/>
  <c r="AA20" i="1"/>
  <c r="AA8" i="1"/>
  <c r="AA7" i="1"/>
  <c r="AE22" i="1"/>
  <c r="AF22" i="1" s="1"/>
  <c r="AI22" i="1" s="1"/>
  <c r="AE27" i="1"/>
  <c r="AF27" i="1" s="1"/>
  <c r="AI27" i="1" s="1"/>
  <c r="AE28" i="1"/>
  <c r="AF28" i="1" s="1"/>
  <c r="AI28" i="1" s="1"/>
  <c r="AE25" i="1"/>
  <c r="AF25" i="1" s="1"/>
  <c r="AI25" i="1" s="1"/>
  <c r="AE38" i="1"/>
  <c r="AF38" i="1" s="1"/>
  <c r="AE23" i="1"/>
  <c r="AF23" i="1" s="1"/>
  <c r="AE26" i="1"/>
  <c r="AF26" i="1" s="1"/>
  <c r="AI26" i="1" s="1"/>
  <c r="AE39" i="1"/>
  <c r="AF39" i="1" s="1"/>
  <c r="AE24" i="1"/>
  <c r="AF24" i="1" s="1"/>
  <c r="AI24" i="1" s="1"/>
  <c r="AE35" i="1"/>
  <c r="AF35" i="1" s="1"/>
  <c r="AE40" i="1"/>
  <c r="AF40" i="1" s="1"/>
  <c r="AE36" i="1"/>
  <c r="AF36" i="1" s="1"/>
  <c r="AE37" i="1"/>
  <c r="AF37" i="1" s="1"/>
  <c r="AE34" i="1"/>
  <c r="AF34" i="1" s="1"/>
  <c r="AE41" i="1"/>
  <c r="AF41" i="1" s="1"/>
  <c r="AE50" i="1"/>
  <c r="AF50" i="1" s="1"/>
  <c r="AI50" i="1" s="1"/>
  <c r="AE52" i="1"/>
  <c r="AF52" i="1" s="1"/>
  <c r="AI52" i="1" s="1"/>
  <c r="K7" i="1"/>
  <c r="AE47" i="1"/>
  <c r="AF47" i="1" s="1"/>
  <c r="AI47" i="1" s="1"/>
  <c r="AE46" i="1"/>
  <c r="AF46" i="1" s="1"/>
  <c r="AI46" i="1" s="1"/>
  <c r="AE48" i="1"/>
  <c r="AF48" i="1" s="1"/>
  <c r="AI48" i="1" s="1"/>
  <c r="AE51" i="1"/>
  <c r="AF51" i="1" s="1"/>
  <c r="AI51" i="1" s="1"/>
  <c r="AE49" i="1"/>
  <c r="AF49" i="1" s="1"/>
  <c r="AI49" i="1" s="1"/>
  <c r="AE45" i="1"/>
  <c r="AF45" i="1" s="1"/>
  <c r="AI45" i="1" s="1"/>
  <c r="AI29" i="1"/>
  <c r="AI23" i="1"/>
  <c r="M7" i="1" l="1"/>
  <c r="AA26" i="1"/>
  <c r="AI53" i="1"/>
  <c r="AI30" i="1"/>
  <c r="P33" i="1" l="1"/>
  <c r="AF64" i="1"/>
  <c r="AG64" i="1" s="1"/>
  <c r="H14" i="1" s="1"/>
  <c r="AF62" i="1"/>
  <c r="AG62" i="1" s="1"/>
  <c r="H12" i="1" s="1"/>
  <c r="AF58" i="1"/>
  <c r="AG58" i="1" s="1"/>
  <c r="AF61" i="1"/>
  <c r="AG61" i="1" s="1"/>
  <c r="H11" i="1" s="1"/>
  <c r="AF57" i="1"/>
  <c r="AG57" i="1" s="1"/>
  <c r="AF60" i="1"/>
  <c r="AG60" i="1" s="1"/>
  <c r="H10" i="1" s="1"/>
  <c r="AF63" i="1"/>
  <c r="AG63" i="1" s="1"/>
  <c r="H13" i="1" s="1"/>
  <c r="AF59" i="1"/>
  <c r="AG59" i="1" s="1"/>
  <c r="H9" i="1" s="1"/>
  <c r="K10" i="1"/>
  <c r="AG41" i="1"/>
  <c r="P119" i="1"/>
  <c r="P103" i="1"/>
  <c r="P87" i="1"/>
  <c r="P71" i="1"/>
  <c r="P55" i="1"/>
  <c r="P39" i="1"/>
  <c r="P78" i="1"/>
  <c r="P50" i="1"/>
  <c r="P109" i="1"/>
  <c r="P85" i="1"/>
  <c r="P53" i="1"/>
  <c r="P112" i="1"/>
  <c r="P76" i="1"/>
  <c r="P40" i="1"/>
  <c r="P106" i="1"/>
  <c r="P82" i="1"/>
  <c r="P42" i="1"/>
  <c r="P93" i="1"/>
  <c r="P57" i="1"/>
  <c r="P116" i="1"/>
  <c r="P88" i="1"/>
  <c r="P60" i="1"/>
  <c r="P98" i="1"/>
  <c r="P38" i="1"/>
  <c r="P69" i="1"/>
  <c r="P92" i="1"/>
  <c r="P114" i="1"/>
  <c r="P62" i="1"/>
  <c r="P73" i="1"/>
  <c r="P100" i="1"/>
  <c r="P44" i="1"/>
  <c r="P91" i="1"/>
  <c r="P59" i="1"/>
  <c r="P90" i="1"/>
  <c r="P117" i="1"/>
  <c r="P61" i="1"/>
  <c r="P84" i="1"/>
  <c r="P110" i="1"/>
  <c r="P54" i="1"/>
  <c r="P65" i="1"/>
  <c r="P96" i="1"/>
  <c r="P36" i="1"/>
  <c r="P115" i="1"/>
  <c r="P99" i="1"/>
  <c r="P83" i="1"/>
  <c r="P67" i="1"/>
  <c r="P51" i="1"/>
  <c r="P35" i="1"/>
  <c r="P70" i="1"/>
  <c r="P46" i="1"/>
  <c r="P105" i="1"/>
  <c r="P77" i="1"/>
  <c r="P45" i="1"/>
  <c r="P104" i="1"/>
  <c r="P68" i="1"/>
  <c r="P118" i="1"/>
  <c r="P102" i="1"/>
  <c r="P74" i="1"/>
  <c r="P34" i="1"/>
  <c r="P81" i="1"/>
  <c r="P49" i="1"/>
  <c r="P108" i="1"/>
  <c r="P80" i="1"/>
  <c r="P52" i="1"/>
  <c r="P111" i="1"/>
  <c r="P95" i="1"/>
  <c r="P79" i="1"/>
  <c r="P63" i="1"/>
  <c r="P47" i="1"/>
  <c r="P66" i="1"/>
  <c r="P97" i="1"/>
  <c r="P37" i="1"/>
  <c r="P56" i="1"/>
  <c r="P94" i="1"/>
  <c r="P113" i="1"/>
  <c r="P41" i="1"/>
  <c r="P72" i="1"/>
  <c r="P107" i="1"/>
  <c r="P75" i="1"/>
  <c r="P43" i="1"/>
  <c r="P58" i="1"/>
  <c r="P89" i="1"/>
  <c r="P120" i="1"/>
  <c r="P48" i="1"/>
  <c r="P86" i="1"/>
  <c r="P101" i="1"/>
  <c r="P64" i="1"/>
  <c r="AG22" i="1"/>
  <c r="AH22" i="1" s="1"/>
  <c r="AG47" i="1"/>
  <c r="G9" i="1" s="1"/>
  <c r="AG45" i="1"/>
  <c r="G7" i="1" s="1"/>
  <c r="AG50" i="1"/>
  <c r="G12" i="1" s="1"/>
  <c r="AG52" i="1"/>
  <c r="G14" i="1" s="1"/>
  <c r="AG46" i="1"/>
  <c r="G8" i="1" s="1"/>
  <c r="AG48" i="1"/>
  <c r="G10" i="1" s="1"/>
  <c r="AG51" i="1"/>
  <c r="G13" i="1" s="1"/>
  <c r="AG49" i="1"/>
  <c r="G11" i="1" s="1"/>
  <c r="AG27" i="1"/>
  <c r="AG40" i="1"/>
  <c r="AG26" i="1"/>
  <c r="AG37" i="1"/>
  <c r="K9" i="1"/>
  <c r="AG25" i="1"/>
  <c r="AG28" i="1"/>
  <c r="AG35" i="1"/>
  <c r="AG38" i="1"/>
  <c r="AG24" i="1"/>
  <c r="AG23" i="1"/>
  <c r="AG36" i="1"/>
  <c r="AG39" i="1"/>
  <c r="AG34" i="1"/>
  <c r="AH34" i="1" s="1"/>
  <c r="F7" i="1" s="1"/>
  <c r="AG29" i="1"/>
  <c r="AH41" i="1" l="1"/>
  <c r="F14" i="1" s="1"/>
  <c r="Q65" i="1"/>
  <c r="Q63" i="1"/>
  <c r="Q38" i="1"/>
  <c r="Q36" i="1"/>
  <c r="Q53" i="1"/>
  <c r="Q51" i="1"/>
  <c r="Q66" i="1"/>
  <c r="Q64" i="1"/>
  <c r="Q119" i="1"/>
  <c r="Q114" i="1"/>
  <c r="Q112" i="1"/>
  <c r="Q81" i="1"/>
  <c r="Q79" i="1"/>
  <c r="Q69" i="1"/>
  <c r="Q67" i="1"/>
  <c r="Q118" i="1"/>
  <c r="Q116" i="1"/>
  <c r="Q58" i="1"/>
  <c r="Q56" i="1"/>
  <c r="Q54" i="1"/>
  <c r="Q52" i="1"/>
  <c r="Q102" i="1"/>
  <c r="Q100" i="1"/>
  <c r="Q90" i="1"/>
  <c r="Q88" i="1"/>
  <c r="Q109" i="1"/>
  <c r="Q107" i="1"/>
  <c r="Q105" i="1"/>
  <c r="Q103" i="1"/>
  <c r="Q37" i="1"/>
  <c r="Q35" i="1"/>
  <c r="Q101" i="1"/>
  <c r="Q99" i="1"/>
  <c r="Q93" i="1"/>
  <c r="Q91" i="1"/>
  <c r="Q61" i="1"/>
  <c r="Q59" i="1"/>
  <c r="Q94" i="1"/>
  <c r="Q92" i="1"/>
  <c r="Q41" i="1"/>
  <c r="Q39" i="1"/>
  <c r="Q86" i="1"/>
  <c r="Q84" i="1"/>
  <c r="Q49" i="1"/>
  <c r="Q47" i="1"/>
  <c r="Q42" i="1"/>
  <c r="Q40" i="1"/>
  <c r="Q82" i="1"/>
  <c r="Q80" i="1"/>
  <c r="Q78" i="1"/>
  <c r="Q76" i="1"/>
  <c r="Q62" i="1"/>
  <c r="Q60" i="1"/>
  <c r="Q117" i="1"/>
  <c r="Q115" i="1"/>
  <c r="Q113" i="1"/>
  <c r="Q111" i="1"/>
  <c r="Q98" i="1"/>
  <c r="Q96" i="1"/>
  <c r="Q106" i="1"/>
  <c r="Q104" i="1"/>
  <c r="Q45" i="1"/>
  <c r="Q43" i="1"/>
  <c r="Q73" i="1"/>
  <c r="Q71" i="1"/>
  <c r="Q57" i="1"/>
  <c r="Q55" i="1"/>
  <c r="Q50" i="1"/>
  <c r="Q48" i="1"/>
  <c r="Q46" i="1"/>
  <c r="Q44" i="1"/>
  <c r="Q97" i="1"/>
  <c r="Q95" i="1"/>
  <c r="Q85" i="1"/>
  <c r="Q83" i="1"/>
  <c r="Q74" i="1"/>
  <c r="Q72" i="1"/>
  <c r="Q70" i="1"/>
  <c r="Q68" i="1"/>
  <c r="Q89" i="1"/>
  <c r="Q87" i="1"/>
  <c r="Q77" i="1"/>
  <c r="Q75" i="1"/>
  <c r="Q110" i="1"/>
  <c r="Q108" i="1"/>
  <c r="AH23" i="1"/>
  <c r="AH25" i="1"/>
  <c r="AH28" i="1"/>
  <c r="AH27" i="1"/>
  <c r="AH26" i="1"/>
  <c r="AH40" i="1"/>
  <c r="F13" i="1" s="1"/>
  <c r="AH29" i="1"/>
  <c r="AH38" i="1"/>
  <c r="F11" i="1" s="1"/>
  <c r="AH37" i="1"/>
  <c r="F10" i="1" s="1"/>
  <c r="AH24" i="1"/>
  <c r="AH39" i="1"/>
  <c r="F12" i="1" s="1"/>
  <c r="AH36" i="1"/>
  <c r="F9" i="1" s="1"/>
  <c r="AH35" i="1"/>
  <c r="F8" i="1" s="1"/>
  <c r="F16" i="1" l="1"/>
</calcChain>
</file>

<file path=xl/comments1.xml><?xml version="1.0" encoding="utf-8"?>
<comments xmlns="http://schemas.openxmlformats.org/spreadsheetml/2006/main">
  <authors>
    <author>01404747</author>
  </authors>
  <commentList>
    <comment ref="J10" authorId="0" shapeId="0">
      <text>
        <r>
          <rPr>
            <sz val="9"/>
            <color indexed="81"/>
            <rFont val="Tahoma"/>
            <family val="2"/>
          </rPr>
          <t>Root Mean Square Error; a measure of goodness of fit.</t>
        </r>
      </text>
    </comment>
  </commentList>
</comments>
</file>

<file path=xl/sharedStrings.xml><?xml version="1.0" encoding="utf-8"?>
<sst xmlns="http://schemas.openxmlformats.org/spreadsheetml/2006/main" count="214" uniqueCount="138">
  <si>
    <t>15-19</t>
  </si>
  <si>
    <t>20-24</t>
  </si>
  <si>
    <t>25-29</t>
  </si>
  <si>
    <t>30-34</t>
  </si>
  <si>
    <t>35-39</t>
  </si>
  <si>
    <t>40-44</t>
  </si>
  <si>
    <t>45-49</t>
  </si>
  <si>
    <t>F(x)</t>
  </si>
  <si>
    <t>F(x)/F(x+5)</t>
  </si>
  <si>
    <t>z(x)</t>
  </si>
  <si>
    <t>e(x)</t>
  </si>
  <si>
    <t>z(x)-e(x)</t>
  </si>
  <si>
    <t>g(x)</t>
  </si>
  <si>
    <t>exp(-exp(-Y(I))</t>
  </si>
  <si>
    <t>Ys(x)</t>
  </si>
  <si>
    <t>FM(x)</t>
  </si>
  <si>
    <t>fm(x)</t>
  </si>
  <si>
    <t>10-14</t>
  </si>
  <si>
    <t>z()-e()</t>
  </si>
  <si>
    <t>g()</t>
  </si>
  <si>
    <t>F-Points</t>
  </si>
  <si>
    <t>Age x</t>
  </si>
  <si>
    <t>Fs(x)/F</t>
  </si>
  <si>
    <t>No shift (age at birth)</t>
  </si>
  <si>
    <t>Age group</t>
  </si>
  <si>
    <t>i</t>
  </si>
  <si>
    <t>P(i)/P</t>
  </si>
  <si>
    <t>Ys(i)</t>
  </si>
  <si>
    <t>e(i)</t>
  </si>
  <si>
    <t>g(i)</t>
  </si>
  <si>
    <t>z()-e() -- y</t>
  </si>
  <si>
    <t>g() -- x</t>
  </si>
  <si>
    <t>P(i)/P(i+1)</t>
  </si>
  <si>
    <t>Age (x)</t>
  </si>
  <si>
    <t>z(i)</t>
  </si>
  <si>
    <t>z(i)-e(i)</t>
  </si>
  <si>
    <t>Alpha</t>
  </si>
  <si>
    <t>Beta</t>
  </si>
  <si>
    <t>F</t>
  </si>
  <si>
    <t>P</t>
  </si>
  <si>
    <t>alpha</t>
  </si>
  <si>
    <t>n</t>
  </si>
  <si>
    <t>Ratio</t>
  </si>
  <si>
    <t>Phi</t>
  </si>
  <si>
    <t>Phi'</t>
  </si>
  <si>
    <t>Phi''</t>
  </si>
  <si>
    <t>F-LEVEL</t>
  </si>
  <si>
    <t>P-LEVEL</t>
  </si>
  <si>
    <t>Age (i)</t>
  </si>
  <si>
    <t>50+</t>
  </si>
  <si>
    <t>50-54</t>
  </si>
  <si>
    <t>Ages</t>
  </si>
  <si>
    <t>P-Points</t>
  </si>
  <si>
    <t>no shift</t>
  </si>
  <si>
    <t>Fs(x)</t>
  </si>
  <si>
    <t>x</t>
  </si>
  <si>
    <t>Standards</t>
  </si>
  <si>
    <t>f(x)</t>
  </si>
  <si>
    <t>Malawi 2008</t>
  </si>
  <si>
    <t>Figure 1</t>
  </si>
  <si>
    <t>Figure 2</t>
  </si>
  <si>
    <t>Figure 3</t>
  </si>
  <si>
    <t>shift</t>
  </si>
  <si>
    <t>RMSE</t>
  </si>
  <si>
    <t>Age-specific fertility rates</t>
  </si>
  <si>
    <t>P/F ratios</t>
  </si>
  <si>
    <t>http://demographicestimation.iussp.org/content/relational-gompertz-model</t>
  </si>
  <si>
    <t>exp(-exp(-Y(x))</t>
  </si>
  <si>
    <t>Estimation de la fécondité récente par un modèle relationnel de Gompertz - Instructions</t>
  </si>
  <si>
    <t>Cette méthode est présentée dans:</t>
  </si>
  <si>
    <t>Saisie des données</t>
  </si>
  <si>
    <t xml:space="preserve">Saisir le nom des pays et l'année à laquelle les données se réfèrent dans l'encadré vert à droite de cette cellule </t>
  </si>
  <si>
    <t xml:space="preserve">Choisir la version du modèle à appliquer. Par convention, la forme de la distribution de la fécondité est déterminée à partir des données sur la fécondité récente, et le niveau est déterminé par les parités moyennes déclarées par les jeunes femmes. C'est la variante par défaut du modèle "Forme F, niveau P". L'alternative "F seul" est utilisée pour lisser une série observée de taux de fécondité sans ajuster le niveau. </t>
  </si>
  <si>
    <t xml:space="preserve">(Pour savoir comment calculer les parités moyennes à partir de données de recensement ou d'enquête, consulter les section appropriées du manuel) </t>
  </si>
  <si>
    <t xml:space="preserve">(Pour savoir comment calculer les taux de fécondité récents directement à partir de données de recensement ou d'enquête, consulter les section appropriées du manuel) </t>
  </si>
  <si>
    <r>
      <t xml:space="preserve">Commencer par placer un "1" dans chacune des cellules </t>
    </r>
    <r>
      <rPr>
        <b/>
        <sz val="12"/>
        <rFont val="Arial"/>
        <family val="2"/>
      </rPr>
      <t>C7:C15</t>
    </r>
    <r>
      <rPr>
        <sz val="12"/>
        <rFont val="Arial"/>
        <family val="2"/>
      </rPr>
      <t xml:space="preserve"> et </t>
    </r>
    <r>
      <rPr>
        <b/>
        <sz val="12"/>
        <rFont val="Arial"/>
        <family val="2"/>
      </rPr>
      <t>E7:E15</t>
    </r>
    <r>
      <rPr>
        <sz val="12"/>
        <rFont val="Arial"/>
        <family val="2"/>
      </rPr>
      <t xml:space="preserve"> pour lesquelles les données correspondantes de parité et de fécondité récente existent. Procéder ainsi signifie que la procédure d'ajustement du modèle commence par ajuster un modèle relationnel de Gompertz à tous les points des données relatives à la parité et à la fécondité récente. </t>
    </r>
  </si>
  <si>
    <t>Pays et année</t>
  </si>
  <si>
    <t>Définition de l'âge des mères</t>
  </si>
  <si>
    <t>Variante du modèle ajusté</t>
  </si>
  <si>
    <t>DONNEES</t>
  </si>
  <si>
    <t>RESULTATS</t>
  </si>
  <si>
    <t>Parités moyennes</t>
  </si>
  <si>
    <t>Sélectionné</t>
  </si>
  <si>
    <t>(âge décalé)</t>
  </si>
  <si>
    <t>Taux de fécondité observés</t>
  </si>
  <si>
    <t>Taux de fécondité corrigés</t>
  </si>
  <si>
    <t>(âge réel)</t>
  </si>
  <si>
    <t>Parités</t>
  </si>
  <si>
    <t>Quotients P/F</t>
  </si>
  <si>
    <t>REQM</t>
  </si>
  <si>
    <t>ISF</t>
  </si>
  <si>
    <t>Modèle relationnel de Gompertz</t>
  </si>
  <si>
    <t>Groupe (i)</t>
  </si>
  <si>
    <t>Courbe de fécondité ajustée</t>
  </si>
  <si>
    <t>Ajustement linéaire</t>
  </si>
  <si>
    <t>Constantes</t>
  </si>
  <si>
    <t>Combiné</t>
  </si>
  <si>
    <t>Régressions</t>
  </si>
  <si>
    <t>somme_y</t>
  </si>
  <si>
    <t>somme_x</t>
  </si>
  <si>
    <t>somme_xy</t>
  </si>
  <si>
    <t>somme_xx</t>
  </si>
  <si>
    <t>béta (pente)</t>
  </si>
  <si>
    <t>constante</t>
  </si>
  <si>
    <t>Modèle F</t>
  </si>
  <si>
    <t>Y(x) ajusté</t>
  </si>
  <si>
    <t>Cumul réel</t>
  </si>
  <si>
    <t>Pas de décalage</t>
  </si>
  <si>
    <t xml:space="preserve">(utilisé pour les taux de fécondité définitifs aux âges conventionnels) </t>
  </si>
  <si>
    <t>Modèle P</t>
  </si>
  <si>
    <t>Y(i) ajusté</t>
  </si>
  <si>
    <t>QuotientP/F</t>
  </si>
  <si>
    <t>Calcul des cumuls</t>
  </si>
  <si>
    <t>CUMULS F</t>
  </si>
  <si>
    <t>CUMULS P</t>
  </si>
  <si>
    <t>Valeurs des cumuls - Modifié Zaba</t>
  </si>
  <si>
    <t>décalage 1 an</t>
  </si>
  <si>
    <t>décalage 11/2 an</t>
  </si>
  <si>
    <t>Modifié Zaba</t>
  </si>
  <si>
    <t>Parités P(x-5,5)</t>
  </si>
  <si>
    <t>Age à la naissance de l'enfant</t>
  </si>
  <si>
    <t>Age à l'enquête (données de 12 mois)</t>
  </si>
  <si>
    <t>Age à l'enquête (données de 24 mois)</t>
  </si>
  <si>
    <t>Age à l'enquête (données de 36 mois)</t>
  </si>
  <si>
    <t>Modèle sélectionné</t>
  </si>
  <si>
    <t>Forme: F, Niveau P</t>
  </si>
  <si>
    <t>F-seul</t>
  </si>
  <si>
    <t xml:space="preserve">Cette feuille de calcul estime la fécondité à partir de la fécondité récente et des descendances déclarées par les femmes de 15-49 ans. Les données peuvent provenir d'un recensement ou d'une enquête. Une variante du modèle est présentée ici, qui produit des estimations de la fécondité sur la seule base des données de la fécondité récente. Cette variante est particulièrement utile pour lisser une série de taux de fécondité observés tout en laissant le niveau global de la fécondité inchangé. </t>
  </si>
  <si>
    <t xml:space="preserve">Determiner le mode de classement des naissances récentes par âge des mères. Si les naissances récentes sont classées par âge de la mère au moment de la naissance, choisir "Age à la naissance de l'enfant" dans l'encadré à droite de cette cellule. Si les données sont classées par âge de la mère au moment du recensement ou de l'enquête, vérifier la longueur de la période pour laquelle les naissances récentes sont données (12, 24 ou 36 mois avant l'enquête). </t>
  </si>
  <si>
    <r>
      <t xml:space="preserve">Placer les parités moyennes calculées (si nécessaire après une correction d'el-Badry) par âge de la mère au recensement ou à l'enquête dans les cellules </t>
    </r>
    <r>
      <rPr>
        <b/>
        <sz val="12"/>
        <rFont val="Arial"/>
        <family val="2"/>
      </rPr>
      <t>B7:B15</t>
    </r>
    <r>
      <rPr>
        <sz val="12"/>
        <rFont val="Arial"/>
        <family val="2"/>
      </rPr>
      <t xml:space="preserve"> de la feuille </t>
    </r>
    <r>
      <rPr>
        <b/>
        <i/>
        <sz val="12"/>
        <rFont val="Arial"/>
        <family val="2"/>
      </rPr>
      <t>Méthode</t>
    </r>
    <r>
      <rPr>
        <sz val="12"/>
        <rFont val="Arial"/>
        <family val="2"/>
      </rPr>
      <t xml:space="preserve">. </t>
    </r>
  </si>
  <si>
    <r>
      <t xml:space="preserve">Placer les taux de fécondité estimés directement (classés par âge comme défini à l'étape 2) dans les cellules </t>
    </r>
    <r>
      <rPr>
        <b/>
        <sz val="12"/>
        <rFont val="Arial"/>
        <family val="2"/>
      </rPr>
      <t>D7:D15 de</t>
    </r>
    <r>
      <rPr>
        <sz val="12"/>
        <rFont val="Arial"/>
        <family val="2"/>
      </rPr>
      <t xml:space="preserve"> la feuille </t>
    </r>
    <r>
      <rPr>
        <b/>
        <i/>
        <sz val="12"/>
        <rFont val="Arial"/>
        <family val="2"/>
      </rPr>
      <t>Méthode</t>
    </r>
    <r>
      <rPr>
        <sz val="12"/>
        <rFont val="Arial"/>
        <family val="2"/>
      </rPr>
      <t xml:space="preserve">. </t>
    </r>
  </si>
  <si>
    <r>
      <t xml:space="preserve">Examiner le premier graphique sur la feuille </t>
    </r>
    <r>
      <rPr>
        <b/>
        <i/>
        <sz val="12"/>
        <rFont val="Arial"/>
        <family val="2"/>
      </rPr>
      <t>Graphiques diagnostiques</t>
    </r>
    <r>
      <rPr>
        <sz val="12"/>
        <rFont val="Arial"/>
        <family val="2"/>
      </rPr>
      <t xml:space="preserve">; identifier d'éventuelles erreurs dans les données; éliminer ensuite tour à tour des points du modèle (en supprimant les 1 dans les cellules </t>
    </r>
    <r>
      <rPr>
        <b/>
        <sz val="12"/>
        <rFont val="Arial"/>
        <family val="2"/>
      </rPr>
      <t>C7:C15</t>
    </r>
    <r>
      <rPr>
        <sz val="12"/>
        <rFont val="Arial"/>
        <family val="2"/>
      </rPr>
      <t xml:space="preserve"> et </t>
    </r>
    <r>
      <rPr>
        <b/>
        <sz val="12"/>
        <rFont val="Arial"/>
        <family val="2"/>
      </rPr>
      <t>E7-E15</t>
    </r>
    <r>
      <rPr>
        <sz val="12"/>
        <rFont val="Arial"/>
        <family val="2"/>
      </rPr>
      <t xml:space="preserve"> sur la feuille </t>
    </r>
    <r>
      <rPr>
        <b/>
        <i/>
        <sz val="12"/>
        <rFont val="Arial"/>
        <family val="2"/>
      </rPr>
      <t>Méthode</t>
    </r>
    <r>
      <rPr>
        <sz val="12"/>
        <rFont val="Arial"/>
        <family val="2"/>
      </rPr>
      <t xml:space="preserve">, comme expliqué sur le site web à l'adresse citée à la cellule A4), jusqu'à ce que l'ajustement soit aussi bon que possible. </t>
    </r>
  </si>
  <si>
    <r>
      <t xml:space="preserve">Vérifier que les valeurs de α et β définissant le modèle relationnel, dans les cellules </t>
    </r>
    <r>
      <rPr>
        <b/>
        <sz val="12"/>
        <rFont val="Arial"/>
        <family val="2"/>
      </rPr>
      <t>J7:K8</t>
    </r>
    <r>
      <rPr>
        <sz val="12"/>
        <rFont val="Arial"/>
        <family val="2"/>
      </rPr>
      <t xml:space="preserve"> de la feuille </t>
    </r>
    <r>
      <rPr>
        <b/>
        <i/>
        <sz val="12"/>
        <rFont val="Arial"/>
        <family val="2"/>
      </rPr>
      <t>Méthode</t>
    </r>
    <r>
      <rPr>
        <sz val="12"/>
        <rFont val="Arial"/>
        <family val="2"/>
      </rPr>
      <t xml:space="preserve">, sont comprises dans l'intervalle requis. (Si elles ne le sont pas, le mot "attention" s'affichera auprès des valeurs, dans la colonne </t>
    </r>
    <r>
      <rPr>
        <b/>
        <sz val="12"/>
        <rFont val="Arial"/>
        <family val="2"/>
      </rPr>
      <t>M</t>
    </r>
    <r>
      <rPr>
        <sz val="12"/>
        <rFont val="Arial"/>
        <family val="2"/>
      </rPr>
      <t xml:space="preserve">). </t>
    </r>
  </si>
  <si>
    <r>
      <t xml:space="preserve">Le niveau de fécondité correspondant au modèle ajusté est donné par les cellules </t>
    </r>
    <r>
      <rPr>
        <b/>
        <sz val="12"/>
        <rFont val="Arial"/>
        <family val="2"/>
      </rPr>
      <t>J9:K9</t>
    </r>
    <r>
      <rPr>
        <sz val="12"/>
        <rFont val="Arial"/>
        <family val="2"/>
      </rPr>
      <t xml:space="preserve">. Les taux de fécondité par âge, pour des âges conventionnels (c'est-à-dire non décalés), sont donnés aux cellules </t>
    </r>
    <r>
      <rPr>
        <b/>
        <sz val="12"/>
        <rFont val="Arial"/>
        <family val="2"/>
      </rPr>
      <t>F7:F14</t>
    </r>
    <r>
      <rPr>
        <sz val="12"/>
        <rFont val="Arial"/>
        <family val="2"/>
      </rPr>
      <t xml:space="preserve"> de la feuille </t>
    </r>
    <r>
      <rPr>
        <b/>
        <i/>
        <sz val="12"/>
        <rFont val="Arial"/>
        <family val="2"/>
      </rPr>
      <t>Méthode</t>
    </r>
    <r>
      <rPr>
        <sz val="12"/>
        <rFont val="Arial"/>
        <family val="2"/>
      </rPr>
      <t xml:space="preserve">. Les équivalents en parité si la fécondité était restée constante sur une longue période (35 ans ou plus) figurent dans les cellules </t>
    </r>
    <r>
      <rPr>
        <b/>
        <sz val="12"/>
        <rFont val="Arial"/>
        <family val="2"/>
      </rPr>
      <t>G7:G14</t>
    </r>
    <r>
      <rPr>
        <sz val="12"/>
        <rFont val="Arial"/>
        <family val="2"/>
      </rPr>
      <t xml:space="preserve">, et les quotients P/F (un diagnostic utile), figurent en </t>
    </r>
    <r>
      <rPr>
        <b/>
        <sz val="12"/>
        <rFont val="Arial"/>
        <family val="2"/>
      </rPr>
      <t>H9-H14</t>
    </r>
    <r>
      <rPr>
        <sz val="12"/>
        <rFont val="Arial"/>
        <family val="2"/>
      </rPr>
      <t xml:space="preserve">. </t>
    </r>
  </si>
  <si>
    <t>T chapeau</t>
  </si>
  <si>
    <t>Points du graphique</t>
  </si>
  <si>
    <t>Points de la régression</t>
  </si>
  <si>
    <t>décalage 1/2 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</si>
</sst>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
    <numFmt numFmtId="167" formatCode="0.0"/>
    <numFmt numFmtId="168" formatCode="General_)"/>
  </numFmts>
  <fonts count="27" x14ac:knownFonts="1">
    <font>
      <sz val="10"/>
      <name val="Arial"/>
    </font>
    <font>
      <sz val="11"/>
      <color rgb="FF006100"/>
      <name val="Calibri"/>
      <family val="2"/>
      <scheme val="minor"/>
    </font>
    <font>
      <sz val="11"/>
      <color rgb="FF9C6500"/>
      <name val="Calibri"/>
      <family val="2"/>
      <scheme val="minor"/>
    </font>
    <font>
      <sz val="12"/>
      <color theme="1"/>
      <name val="Arial Narrow"/>
      <family val="2"/>
    </font>
    <font>
      <b/>
      <sz val="12"/>
      <color theme="1"/>
      <name val="Arial Narrow"/>
      <family val="2"/>
    </font>
    <font>
      <sz val="12"/>
      <name val="Arial Narrow"/>
      <family val="2"/>
    </font>
    <font>
      <sz val="12"/>
      <color rgb="FF006100"/>
      <name val="Arial Narrow"/>
      <family val="2"/>
    </font>
    <font>
      <sz val="12"/>
      <color indexed="62"/>
      <name val="Arial Narrow"/>
      <family val="2"/>
    </font>
    <font>
      <b/>
      <sz val="12"/>
      <name val="Arial Narrow"/>
      <family val="2"/>
    </font>
    <font>
      <u/>
      <sz val="10"/>
      <color theme="10"/>
      <name val="Arial"/>
      <family val="2"/>
    </font>
    <font>
      <sz val="10"/>
      <name val="Arial"/>
      <family val="2"/>
    </font>
    <font>
      <b/>
      <sz val="12"/>
      <name val="Arial"/>
      <family val="2"/>
    </font>
    <font>
      <sz val="12"/>
      <name val="Arial"/>
      <family val="2"/>
    </font>
    <font>
      <u/>
      <sz val="12"/>
      <color theme="10"/>
      <name val="Arial"/>
      <family val="2"/>
    </font>
    <font>
      <b/>
      <sz val="12"/>
      <color rgb="FF006100"/>
      <name val="Arial"/>
      <family val="2"/>
    </font>
    <font>
      <sz val="12"/>
      <color theme="1"/>
      <name val="Arial"/>
      <family val="2"/>
    </font>
    <font>
      <sz val="12"/>
      <color rgb="FF006100"/>
      <name val="Arial"/>
      <family val="2"/>
    </font>
    <font>
      <b/>
      <i/>
      <sz val="12"/>
      <name val="Arial"/>
      <family val="2"/>
    </font>
    <font>
      <sz val="11"/>
      <name val="Arial Narrow"/>
      <family val="2"/>
    </font>
    <font>
      <b/>
      <sz val="11"/>
      <name val="Arial Narrow"/>
      <family val="2"/>
    </font>
    <font>
      <b/>
      <sz val="11"/>
      <color theme="1"/>
      <name val="Arial Narrow"/>
      <family val="2"/>
    </font>
    <font>
      <sz val="10"/>
      <color rgb="FF006100"/>
      <name val="Arial"/>
      <family val="2"/>
    </font>
    <font>
      <sz val="10"/>
      <color rgb="FF9C6500"/>
      <name val="Arial"/>
      <family val="2"/>
    </font>
    <font>
      <b/>
      <sz val="10"/>
      <color theme="1"/>
      <name val="Arial"/>
      <family val="2"/>
    </font>
    <font>
      <b/>
      <sz val="11"/>
      <color rgb="FF9C6500"/>
      <name val="Arial Narrow"/>
      <family val="2"/>
    </font>
    <font>
      <b/>
      <sz val="10"/>
      <color rgb="FF9C6500"/>
      <name val="Arial"/>
      <family val="2"/>
    </font>
    <font>
      <sz val="9"/>
      <color indexed="81"/>
      <name val="Tahoma"/>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rgb="FFFFEB9C"/>
        <bgColor indexed="64"/>
      </patternFill>
    </fill>
    <fill>
      <patternFill patternType="solid">
        <fgColor rgb="FF00B050"/>
        <bgColor indexed="64"/>
      </patternFill>
    </fill>
  </fills>
  <borders count="25">
    <border>
      <left/>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9" fillId="0" borderId="0" applyNumberFormat="0" applyFill="0" applyBorder="0" applyAlignment="0" applyProtection="0">
      <alignment vertical="top"/>
      <protection locked="0"/>
    </xf>
    <xf numFmtId="0" fontId="10" fillId="0" borderId="0"/>
  </cellStyleXfs>
  <cellXfs count="139">
    <xf numFmtId="0" fontId="0" fillId="0" borderId="0" xfId="0"/>
    <xf numFmtId="0" fontId="5" fillId="0" borderId="0" xfId="0" applyFont="1" applyProtection="1"/>
    <xf numFmtId="0" fontId="5" fillId="0" borderId="0" xfId="0" applyFont="1" applyFill="1" applyProtection="1"/>
    <xf numFmtId="164" fontId="5" fillId="0" borderId="0" xfId="0" applyNumberFormat="1" applyFont="1" applyProtection="1"/>
    <xf numFmtId="0" fontId="7" fillId="0" borderId="0" xfId="0" applyFont="1" applyFill="1" applyProtection="1"/>
    <xf numFmtId="0" fontId="8" fillId="0" borderId="0" xfId="0" applyFont="1" applyFill="1" applyProtection="1"/>
    <xf numFmtId="164" fontId="5" fillId="0" borderId="0" xfId="0" applyNumberFormat="1" applyFont="1" applyAlignment="1" applyProtection="1">
      <alignment vertical="top" wrapText="1"/>
    </xf>
    <xf numFmtId="0" fontId="8" fillId="0" borderId="0" xfId="0" applyFont="1" applyProtection="1"/>
    <xf numFmtId="164" fontId="8" fillId="0" borderId="0" xfId="0" applyNumberFormat="1" applyFont="1" applyProtection="1"/>
    <xf numFmtId="0" fontId="8" fillId="0" borderId="0" xfId="0" applyFont="1" applyBorder="1" applyAlignment="1" applyProtection="1">
      <alignment vertical="top" wrapText="1"/>
    </xf>
    <xf numFmtId="164" fontId="5" fillId="0" borderId="0" xfId="0" applyNumberFormat="1" applyFont="1" applyBorder="1" applyAlignment="1" applyProtection="1">
      <alignment vertical="top" wrapText="1"/>
    </xf>
    <xf numFmtId="0" fontId="10" fillId="0" borderId="0" xfId="0" applyFont="1"/>
    <xf numFmtId="0" fontId="12" fillId="0" borderId="0" xfId="0" applyFont="1" applyAlignment="1">
      <alignment wrapText="1"/>
    </xf>
    <xf numFmtId="0" fontId="12" fillId="0" borderId="0" xfId="0" applyFont="1"/>
    <xf numFmtId="0" fontId="13" fillId="0" borderId="0" xfId="3" applyFont="1" applyAlignment="1" applyProtection="1"/>
    <xf numFmtId="0" fontId="11" fillId="0" borderId="0" xfId="0" applyFont="1"/>
    <xf numFmtId="0" fontId="10" fillId="0" borderId="0" xfId="0" applyFont="1" applyAlignment="1">
      <alignment horizontal="center"/>
    </xf>
    <xf numFmtId="0" fontId="10" fillId="0" borderId="0" xfId="0" applyFont="1" applyAlignment="1">
      <alignment wrapText="1"/>
    </xf>
    <xf numFmtId="0" fontId="12" fillId="0" borderId="17" xfId="0" applyFont="1" applyBorder="1" applyAlignment="1">
      <alignment horizontal="right"/>
    </xf>
    <xf numFmtId="0" fontId="12" fillId="0" borderId="16" xfId="0" applyFont="1" applyBorder="1" applyAlignment="1">
      <alignment horizontal="right"/>
    </xf>
    <xf numFmtId="0" fontId="15" fillId="0" borderId="16" xfId="0" applyFont="1" applyBorder="1" applyAlignment="1">
      <alignment horizontal="right"/>
    </xf>
    <xf numFmtId="0" fontId="15" fillId="0" borderId="20" xfId="0" applyFont="1" applyBorder="1" applyAlignment="1">
      <alignment horizontal="right"/>
    </xf>
    <xf numFmtId="0" fontId="12" fillId="0" borderId="0" xfId="0" applyFont="1" applyAlignment="1">
      <alignment vertical="top"/>
    </xf>
    <xf numFmtId="0" fontId="10" fillId="0" borderId="0" xfId="0" applyFont="1" applyAlignment="1">
      <alignment vertical="top"/>
    </xf>
    <xf numFmtId="0" fontId="18" fillId="0" borderId="0" xfId="0" applyFont="1" applyProtection="1"/>
    <xf numFmtId="0" fontId="18" fillId="0" borderId="6" xfId="0" applyFont="1" applyBorder="1" applyProtection="1"/>
    <xf numFmtId="0" fontId="18" fillId="0" borderId="7" xfId="0" applyFont="1" applyBorder="1" applyProtection="1"/>
    <xf numFmtId="0" fontId="19" fillId="0" borderId="0" xfId="0" applyFont="1" applyFill="1" applyProtection="1"/>
    <xf numFmtId="0" fontId="19" fillId="0" borderId="0" xfId="0" applyFont="1" applyProtection="1"/>
    <xf numFmtId="0" fontId="19" fillId="0" borderId="0" xfId="0" applyFont="1"/>
    <xf numFmtId="0" fontId="19" fillId="0" borderId="11" xfId="0" applyFont="1" applyBorder="1" applyProtection="1"/>
    <xf numFmtId="0" fontId="19" fillId="0" borderId="12" xfId="0" applyFont="1" applyBorder="1" applyProtection="1"/>
    <xf numFmtId="0" fontId="5" fillId="0" borderId="11" xfId="0" applyFont="1" applyFill="1" applyBorder="1" applyProtection="1"/>
    <xf numFmtId="0" fontId="8" fillId="0" borderId="11" xfId="0" applyFont="1" applyBorder="1" applyProtection="1"/>
    <xf numFmtId="164" fontId="10" fillId="0" borderId="0" xfId="0" applyNumberFormat="1" applyFont="1" applyProtection="1"/>
    <xf numFmtId="164" fontId="10" fillId="0" borderId="11" xfId="0" applyNumberFormat="1" applyFont="1" applyBorder="1" applyProtection="1"/>
    <xf numFmtId="0" fontId="19" fillId="0" borderId="22" xfId="0" applyFont="1" applyBorder="1" applyProtection="1"/>
    <xf numFmtId="1" fontId="10" fillId="0" borderId="0" xfId="0" applyNumberFormat="1" applyFont="1" applyProtection="1"/>
    <xf numFmtId="0" fontId="10" fillId="0" borderId="0" xfId="0" applyFont="1" applyAlignment="1" applyProtection="1">
      <alignment horizontal="right" wrapText="1"/>
    </xf>
    <xf numFmtId="164" fontId="10" fillId="0" borderId="0" xfId="0" applyNumberFormat="1" applyFont="1" applyAlignment="1" applyProtection="1">
      <alignment horizontal="right" wrapText="1"/>
    </xf>
    <xf numFmtId="164" fontId="10" fillId="0" borderId="2" xfId="0" applyNumberFormat="1" applyFont="1" applyBorder="1" applyAlignment="1" applyProtection="1">
      <alignment horizontal="right" wrapText="1"/>
    </xf>
    <xf numFmtId="0" fontId="18" fillId="0" borderId="0" xfId="0" applyFont="1" applyAlignment="1" applyProtection="1"/>
    <xf numFmtId="0" fontId="19" fillId="0" borderId="1" xfId="0" applyFont="1" applyBorder="1" applyAlignment="1" applyProtection="1">
      <alignment wrapText="1"/>
    </xf>
    <xf numFmtId="0" fontId="19" fillId="0" borderId="0" xfId="0" applyFont="1" applyAlignment="1" applyProtection="1">
      <alignment horizontal="right" wrapText="1"/>
    </xf>
    <xf numFmtId="1" fontId="19" fillId="0" borderId="2" xfId="0" applyNumberFormat="1" applyFont="1" applyBorder="1" applyAlignment="1" applyProtection="1">
      <alignment horizontal="right" wrapText="1"/>
    </xf>
    <xf numFmtId="0" fontId="5" fillId="0" borderId="0" xfId="0" applyFont="1" applyBorder="1" applyAlignment="1" applyProtection="1">
      <alignment wrapText="1"/>
    </xf>
    <xf numFmtId="0" fontId="5" fillId="0" borderId="0" xfId="0" applyFont="1" applyBorder="1" applyAlignment="1" applyProtection="1">
      <alignment horizontal="right" wrapText="1"/>
    </xf>
    <xf numFmtId="0" fontId="5" fillId="0" borderId="0" xfId="0" applyFont="1" applyAlignment="1" applyProtection="1"/>
    <xf numFmtId="0" fontId="19" fillId="0" borderId="0" xfId="0" applyFont="1" applyAlignment="1" applyProtection="1">
      <alignment wrapText="1"/>
    </xf>
    <xf numFmtId="0" fontId="19" fillId="0" borderId="2" xfId="0" applyFont="1" applyBorder="1" applyAlignment="1" applyProtection="1">
      <alignment wrapText="1"/>
    </xf>
    <xf numFmtId="0" fontId="19" fillId="0" borderId="0" xfId="0" applyFont="1" applyBorder="1" applyAlignment="1" applyProtection="1">
      <alignment horizontal="right" wrapText="1"/>
    </xf>
    <xf numFmtId="0" fontId="19" fillId="0" borderId="2" xfId="0" applyFont="1" applyBorder="1" applyAlignment="1" applyProtection="1">
      <alignment horizontal="right"/>
    </xf>
    <xf numFmtId="164" fontId="10" fillId="0" borderId="0" xfId="0" applyNumberFormat="1" applyFont="1" applyAlignment="1" applyProtection="1">
      <alignment wrapText="1"/>
    </xf>
    <xf numFmtId="0" fontId="10" fillId="0" borderId="0" xfId="0" applyFont="1" applyBorder="1" applyAlignment="1" applyProtection="1">
      <alignment horizontal="right" wrapText="1"/>
    </xf>
    <xf numFmtId="164" fontId="10" fillId="0" borderId="0" xfId="0" applyNumberFormat="1" applyFont="1" applyBorder="1" applyAlignment="1" applyProtection="1">
      <alignment horizontal="right" wrapText="1"/>
    </xf>
    <xf numFmtId="0" fontId="10" fillId="0" borderId="2" xfId="0" applyFont="1" applyBorder="1" applyAlignment="1" applyProtection="1"/>
    <xf numFmtId="1" fontId="10" fillId="0" borderId="2" xfId="0" applyNumberFormat="1" applyFont="1" applyBorder="1" applyAlignment="1" applyProtection="1">
      <alignment horizontal="right" wrapText="1"/>
    </xf>
    <xf numFmtId="164" fontId="10" fillId="0" borderId="2" xfId="0" applyNumberFormat="1" applyFont="1" applyBorder="1" applyAlignment="1" applyProtection="1">
      <alignment wrapText="1"/>
    </xf>
    <xf numFmtId="166" fontId="10" fillId="0" borderId="0" xfId="0" applyNumberFormat="1" applyFont="1" applyAlignment="1" applyProtection="1"/>
    <xf numFmtId="0" fontId="19" fillId="0" borderId="0" xfId="0" applyFont="1" applyAlignment="1" applyProtection="1"/>
    <xf numFmtId="0" fontId="19" fillId="0" borderId="12" xfId="0" applyFont="1" applyBorder="1" applyAlignment="1" applyProtection="1">
      <alignment horizontal="center"/>
    </xf>
    <xf numFmtId="165" fontId="14" fillId="2" borderId="18" xfId="1" applyNumberFormat="1" applyFont="1" applyBorder="1" applyAlignment="1" applyProtection="1">
      <alignment horizontal="center"/>
      <protection locked="0"/>
    </xf>
    <xf numFmtId="0" fontId="16" fillId="2" borderId="19" xfId="1" applyFont="1" applyBorder="1" applyAlignment="1" applyProtection="1">
      <alignment horizontal="center"/>
      <protection locked="0"/>
    </xf>
    <xf numFmtId="0" fontId="16" fillId="2" borderId="21" xfId="1" applyFont="1" applyBorder="1" applyAlignment="1" applyProtection="1">
      <alignment horizontal="center"/>
      <protection locked="0"/>
    </xf>
    <xf numFmtId="0" fontId="5" fillId="0" borderId="0" xfId="0" applyFont="1" applyAlignment="1" applyProtection="1">
      <alignment horizontal="center"/>
    </xf>
    <xf numFmtId="0" fontId="5" fillId="0" borderId="0" xfId="0" applyFont="1" applyAlignment="1" applyProtection="1">
      <alignment horizontal="right"/>
    </xf>
    <xf numFmtId="0" fontId="18" fillId="0" borderId="0" xfId="0" applyFont="1" applyBorder="1" applyProtection="1"/>
    <xf numFmtId="0" fontId="20" fillId="0" borderId="0" xfId="0" applyFont="1" applyBorder="1" applyAlignment="1" applyProtection="1">
      <alignment horizontal="center"/>
    </xf>
    <xf numFmtId="0" fontId="20" fillId="0" borderId="3" xfId="0" applyFont="1" applyBorder="1" applyProtection="1"/>
    <xf numFmtId="0" fontId="20" fillId="0" borderId="13" xfId="0" applyFont="1" applyBorder="1" applyAlignment="1" applyProtection="1">
      <alignment horizontal="center"/>
    </xf>
    <xf numFmtId="0" fontId="20" fillId="0" borderId="3" xfId="0" applyFont="1" applyBorder="1" applyAlignment="1" applyProtection="1">
      <alignment horizontal="center"/>
    </xf>
    <xf numFmtId="0" fontId="20" fillId="0" borderId="14" xfId="0" applyFont="1" applyBorder="1" applyAlignment="1" applyProtection="1">
      <alignment horizontal="center"/>
    </xf>
    <xf numFmtId="165" fontId="20" fillId="0" borderId="0" xfId="0" applyNumberFormat="1" applyFont="1" applyProtection="1"/>
    <xf numFmtId="165" fontId="22" fillId="3" borderId="6" xfId="2" applyNumberFormat="1" applyFont="1" applyBorder="1" applyAlignment="1" applyProtection="1">
      <alignment horizontal="right"/>
    </xf>
    <xf numFmtId="165" fontId="22" fillId="3" borderId="0" xfId="2" applyNumberFormat="1" applyFont="1" applyBorder="1" applyAlignment="1" applyProtection="1">
      <alignment horizontal="right"/>
    </xf>
    <xf numFmtId="165" fontId="22" fillId="3" borderId="7" xfId="2" applyNumberFormat="1" applyFont="1" applyBorder="1" applyAlignment="1" applyProtection="1">
      <alignment horizontal="right"/>
    </xf>
    <xf numFmtId="0" fontId="24" fillId="3" borderId="4" xfId="2" applyFont="1" applyBorder="1" applyAlignment="1" applyProtection="1">
      <alignment horizontal="right"/>
    </xf>
    <xf numFmtId="164" fontId="22" fillId="3" borderId="5" xfId="2" applyNumberFormat="1" applyFont="1" applyBorder="1" applyAlignment="1" applyProtection="1">
      <alignment horizontal="right"/>
    </xf>
    <xf numFmtId="0" fontId="10" fillId="0" borderId="0" xfId="0" applyFont="1" applyProtection="1"/>
    <xf numFmtId="0" fontId="24" fillId="3" borderId="6" xfId="2" applyFont="1" applyBorder="1" applyAlignment="1" applyProtection="1">
      <alignment horizontal="right"/>
    </xf>
    <xf numFmtId="164" fontId="22" fillId="3" borderId="7" xfId="2" applyNumberFormat="1" applyFont="1" applyBorder="1" applyAlignment="1" applyProtection="1">
      <alignment horizontal="right"/>
    </xf>
    <xf numFmtId="2" fontId="22" fillId="3" borderId="7" xfId="2" applyNumberFormat="1" applyFont="1" applyBorder="1" applyAlignment="1" applyProtection="1">
      <alignment horizontal="right"/>
    </xf>
    <xf numFmtId="0" fontId="24" fillId="3" borderId="8" xfId="2" applyFont="1" applyBorder="1" applyAlignment="1" applyProtection="1">
      <alignment horizontal="right"/>
    </xf>
    <xf numFmtId="165" fontId="22" fillId="3" borderId="9" xfId="2" applyNumberFormat="1" applyFont="1" applyBorder="1" applyAlignment="1" applyProtection="1">
      <alignment horizontal="right"/>
    </xf>
    <xf numFmtId="2" fontId="23" fillId="0" borderId="0" xfId="0" applyNumberFormat="1" applyFont="1" applyProtection="1"/>
    <xf numFmtId="2" fontId="25" fillId="3" borderId="8" xfId="2" applyNumberFormat="1" applyFont="1" applyBorder="1" applyAlignment="1" applyProtection="1">
      <alignment horizontal="right"/>
    </xf>
    <xf numFmtId="165" fontId="2" fillId="3" borderId="11" xfId="2" applyNumberFormat="1" applyBorder="1" applyProtection="1"/>
    <xf numFmtId="165" fontId="2" fillId="3" borderId="9" xfId="2" applyNumberFormat="1" applyBorder="1" applyProtection="1"/>
    <xf numFmtId="2" fontId="3" fillId="0" borderId="0" xfId="0" applyNumberFormat="1" applyFont="1" applyProtection="1"/>
    <xf numFmtId="0" fontId="0" fillId="0" borderId="0" xfId="0" applyProtection="1"/>
    <xf numFmtId="2" fontId="5" fillId="0" borderId="0" xfId="0" applyNumberFormat="1" applyFont="1" applyProtection="1"/>
    <xf numFmtId="165" fontId="6" fillId="0" borderId="0" xfId="1" applyNumberFormat="1" applyFont="1" applyFill="1" applyProtection="1"/>
    <xf numFmtId="164" fontId="6" fillId="0" borderId="0" xfId="1" applyNumberFormat="1" applyFont="1" applyFill="1" applyProtection="1"/>
    <xf numFmtId="166" fontId="5" fillId="0" borderId="0" xfId="0" applyNumberFormat="1" applyFont="1" applyAlignment="1" applyProtection="1"/>
    <xf numFmtId="0" fontId="5" fillId="0" borderId="0" xfId="0" applyFont="1" applyBorder="1" applyProtection="1"/>
    <xf numFmtId="167" fontId="19" fillId="0" borderId="6" xfId="0" applyNumberFormat="1" applyFont="1" applyBorder="1" applyAlignment="1" applyProtection="1"/>
    <xf numFmtId="164" fontId="5" fillId="0" borderId="7" xfId="0" applyNumberFormat="1" applyFont="1" applyBorder="1" applyProtection="1"/>
    <xf numFmtId="1" fontId="19" fillId="0" borderId="6" xfId="0" applyNumberFormat="1" applyFont="1" applyBorder="1" applyAlignment="1" applyProtection="1"/>
    <xf numFmtId="167" fontId="19" fillId="0" borderId="8" xfId="0" applyNumberFormat="1" applyFont="1" applyBorder="1" applyProtection="1"/>
    <xf numFmtId="0" fontId="5" fillId="0" borderId="9" xfId="0" applyFont="1" applyBorder="1" applyProtection="1"/>
    <xf numFmtId="0" fontId="19" fillId="0" borderId="8" xfId="0" applyFont="1" applyBorder="1" applyProtection="1"/>
    <xf numFmtId="165" fontId="10" fillId="0" borderId="0" xfId="0" applyNumberFormat="1" applyFont="1" applyProtection="1"/>
    <xf numFmtId="0" fontId="10" fillId="0" borderId="11" xfId="0" applyFont="1" applyBorder="1" applyProtection="1"/>
    <xf numFmtId="165" fontId="10" fillId="0" borderId="11" xfId="0" applyNumberFormat="1" applyFont="1" applyBorder="1" applyProtection="1"/>
    <xf numFmtId="164" fontId="10" fillId="0" borderId="0" xfId="0" applyNumberFormat="1" applyFont="1" applyAlignment="1" applyProtection="1">
      <alignment horizontal="right"/>
    </xf>
    <xf numFmtId="0" fontId="21" fillId="2" borderId="6" xfId="1" applyFont="1" applyBorder="1" applyAlignment="1" applyProtection="1">
      <alignment horizontal="right"/>
      <protection locked="0"/>
    </xf>
    <xf numFmtId="0" fontId="21" fillId="2" borderId="0" xfId="1" applyFont="1" applyBorder="1" applyAlignment="1" applyProtection="1">
      <alignment horizontal="right"/>
      <protection locked="0"/>
    </xf>
    <xf numFmtId="165" fontId="21" fillId="2" borderId="0" xfId="1" applyNumberFormat="1" applyFont="1" applyBorder="1" applyAlignment="1" applyProtection="1">
      <alignment horizontal="right"/>
      <protection locked="0"/>
    </xf>
    <xf numFmtId="0" fontId="6" fillId="2" borderId="8" xfId="1" applyFont="1" applyBorder="1" applyAlignment="1" applyProtection="1">
      <alignment horizontal="right"/>
      <protection locked="0"/>
    </xf>
    <xf numFmtId="0" fontId="6" fillId="2" borderId="11" xfId="1" applyFont="1" applyBorder="1" applyAlignment="1" applyProtection="1">
      <alignment horizontal="right"/>
      <protection locked="0"/>
    </xf>
    <xf numFmtId="0" fontId="16" fillId="2" borderId="19" xfId="1" applyFont="1" applyBorder="1" applyAlignment="1" applyProtection="1">
      <alignment horizontal="center"/>
    </xf>
    <xf numFmtId="0" fontId="3" fillId="6" borderId="4" xfId="0" applyFont="1" applyFill="1" applyBorder="1" applyProtection="1"/>
    <xf numFmtId="0" fontId="3" fillId="6" borderId="5" xfId="0" applyFont="1" applyFill="1" applyBorder="1" applyProtection="1"/>
    <xf numFmtId="0" fontId="3" fillId="6" borderId="6" xfId="0" applyFont="1" applyFill="1" applyBorder="1" applyProtection="1"/>
    <xf numFmtId="0" fontId="4" fillId="6" borderId="7" xfId="0" applyFont="1" applyFill="1" applyBorder="1" applyProtection="1"/>
    <xf numFmtId="0" fontId="3" fillId="6" borderId="8" xfId="0" applyFont="1" applyFill="1" applyBorder="1" applyProtection="1"/>
    <xf numFmtId="0" fontId="4" fillId="6" borderId="9" xfId="0" applyFont="1" applyFill="1" applyBorder="1" applyProtection="1"/>
    <xf numFmtId="0" fontId="3" fillId="6" borderId="0" xfId="0" applyFont="1" applyFill="1" applyProtection="1"/>
    <xf numFmtId="0" fontId="4" fillId="6" borderId="0" xfId="0" applyFont="1" applyFill="1" applyProtection="1"/>
    <xf numFmtId="0" fontId="3" fillId="6" borderId="0" xfId="0" quotePrefix="1" applyFont="1" applyFill="1" applyProtection="1"/>
    <xf numFmtId="0" fontId="3" fillId="6" borderId="7" xfId="0" quotePrefix="1" applyFont="1" applyFill="1" applyBorder="1" applyProtection="1"/>
    <xf numFmtId="0" fontId="3" fillId="6" borderId="9" xfId="0" quotePrefix="1" applyFont="1" applyFill="1" applyBorder="1" applyProtection="1"/>
    <xf numFmtId="0" fontId="3" fillId="6" borderId="24" xfId="0" quotePrefix="1" applyFont="1" applyFill="1" applyBorder="1" applyProtection="1"/>
    <xf numFmtId="165" fontId="21" fillId="2" borderId="6" xfId="1" applyNumberFormat="1" applyFont="1" applyBorder="1" applyAlignment="1" applyProtection="1">
      <alignment horizontal="right"/>
      <protection locked="0"/>
    </xf>
    <xf numFmtId="1" fontId="21" fillId="2" borderId="0" xfId="1" applyNumberFormat="1" applyFont="1" applyBorder="1" applyAlignment="1" applyProtection="1">
      <alignment horizontal="right"/>
      <protection locked="0"/>
    </xf>
    <xf numFmtId="0" fontId="3" fillId="6" borderId="23" xfId="0" applyFont="1" applyFill="1" applyBorder="1" applyProtection="1"/>
    <xf numFmtId="0" fontId="11" fillId="5" borderId="15" xfId="4" applyFont="1" applyFill="1" applyBorder="1" applyAlignment="1">
      <alignment horizontal="center"/>
    </xf>
    <xf numFmtId="0" fontId="11" fillId="5" borderId="0" xfId="4" applyFont="1" applyFill="1" applyBorder="1" applyAlignment="1">
      <alignment horizontal="center"/>
    </xf>
    <xf numFmtId="0" fontId="12" fillId="0" borderId="0" xfId="4" applyFont="1" applyFill="1" applyAlignment="1">
      <alignment horizontal="left"/>
    </xf>
    <xf numFmtId="168" fontId="13" fillId="0" borderId="16" xfId="3" applyNumberFormat="1" applyFont="1" applyFill="1" applyBorder="1" applyAlignment="1" applyProtection="1">
      <alignment horizontal="left"/>
      <protection locked="0"/>
    </xf>
    <xf numFmtId="168" fontId="13" fillId="0" borderId="0" xfId="3" applyNumberFormat="1" applyFont="1" applyFill="1" applyBorder="1" applyAlignment="1" applyProtection="1">
      <alignment horizontal="left"/>
      <protection locked="0"/>
    </xf>
    <xf numFmtId="0" fontId="12" fillId="0" borderId="0" xfId="0" applyFont="1" applyAlignment="1">
      <alignment horizontal="left" vertical="top" wrapText="1"/>
    </xf>
    <xf numFmtId="0" fontId="18" fillId="4" borderId="2" xfId="0" applyFont="1" applyFill="1" applyBorder="1" applyAlignment="1" applyProtection="1">
      <alignment horizontal="center"/>
    </xf>
    <xf numFmtId="0" fontId="19" fillId="0" borderId="22" xfId="0" applyFont="1" applyBorder="1" applyAlignment="1" applyProtection="1">
      <alignment horizontal="center"/>
    </xf>
    <xf numFmtId="0" fontId="19" fillId="0" borderId="10" xfId="0" applyFont="1" applyBorder="1" applyAlignment="1" applyProtection="1">
      <alignment horizontal="center"/>
    </xf>
    <xf numFmtId="0" fontId="19" fillId="0" borderId="12" xfId="0" applyFont="1" applyBorder="1" applyAlignment="1" applyProtection="1">
      <alignment horizontal="center"/>
    </xf>
    <xf numFmtId="0" fontId="3" fillId="0" borderId="0" xfId="0" applyFont="1" applyAlignment="1" applyProtection="1">
      <alignment horizontal="right"/>
    </xf>
    <xf numFmtId="0" fontId="19" fillId="0" borderId="4" xfId="0" applyFont="1" applyBorder="1" applyAlignment="1" applyProtection="1">
      <alignment horizontal="center"/>
    </xf>
    <xf numFmtId="0" fontId="19" fillId="0" borderId="5" xfId="0" applyFont="1" applyBorder="1" applyAlignment="1" applyProtection="1">
      <alignment horizontal="center"/>
    </xf>
  </cellXfs>
  <cellStyles count="5">
    <cellStyle name="Good" xfId="1" builtinId="26"/>
    <cellStyle name="Hyperlink" xfId="3" builtinId="8"/>
    <cellStyle name="Neutral" xfId="2" builtinId="28"/>
    <cellStyle name="Normal" xfId="0" builtinId="0"/>
    <cellStyle name="Normal 3 2 2" xfId="4"/>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1"/>
            <c:trendlineLbl>
              <c:layout>
                <c:manualLayout>
                  <c:x val="-6.1715929544254873E-2"/>
                  <c:y val="3.9085717586506433E-2"/>
                </c:manualLayout>
              </c:layout>
              <c:numFmt formatCode="#,##0.0000" sourceLinked="0"/>
              <c:txPr>
                <a:bodyPr/>
                <a:lstStyle/>
                <a:p>
                  <a:pPr>
                    <a:defRPr>
                      <a:solidFill>
                        <a:srgbClr val="0070C0"/>
                      </a:solidFill>
                    </a:defRPr>
                  </a:pPr>
                  <a:endParaRPr lang="en-US"/>
                </a:p>
              </c:txPr>
            </c:trendlineLbl>
          </c:trendline>
          <c:xVal>
            <c:numRef>
              <c:f>Méthode!$T$6:$T$12</c:f>
              <c:numCache>
                <c:formatCode>0.0000</c:formatCode>
                <c:ptCount val="7"/>
                <c:pt idx="0">
                  <c:v>-2.4384841453180206</c:v>
                </c:pt>
                <c:pt idx="1">
                  <c:v>-1.4527111363647451</c:v>
                </c:pt>
                <c:pt idx="2">
                  <c:v>-0.74260265424673</c:v>
                </c:pt>
                <c:pt idx="3">
                  <c:v>-3.6423874753142363E-2</c:v>
                </c:pt>
                <c:pt idx="4">
                  <c:v>0.84054780591080702</c:v>
                </c:pt>
                <c:pt idx="5">
                  <c:v>2.179944634001882</c:v>
                </c:pt>
                <c:pt idx="6">
                  <c:v>4.5314818046459751</c:v>
                </c:pt>
              </c:numCache>
            </c:numRef>
          </c:xVal>
          <c:yVal>
            <c:numRef>
              <c:f>Méthode!$S$6:$S$12</c:f>
              <c:numCache>
                <c:formatCode>0.0000</c:formatCode>
                <c:ptCount val="7"/>
                <c:pt idx="0">
                  <c:v>#N/A</c:v>
                </c:pt>
                <c:pt idx="1">
                  <c:v>-1.4842136387674116</c:v>
                </c:pt>
                <c:pt idx="2">
                  <c:v>-0.72030227523440093</c:v>
                </c:pt>
                <c:pt idx="3">
                  <c:v>-4.828514638008663E-2</c:v>
                </c:pt>
                <c:pt idx="4">
                  <c:v>0.79610385446126941</c:v>
                </c:pt>
                <c:pt idx="5">
                  <c:v>2.1530332898220284</c:v>
                </c:pt>
                <c:pt idx="6">
                  <c:v>3.4568538735631607</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1"/>
            <c:trendlineLbl>
              <c:layout>
                <c:manualLayout>
                  <c:x val="-0.38095796290935208"/>
                  <c:y val="0.52906036788276078"/>
                </c:manualLayout>
              </c:layout>
              <c:numFmt formatCode="General" sourceLinked="0"/>
              <c:txPr>
                <a:bodyPr/>
                <a:lstStyle/>
                <a:p>
                  <a:pPr>
                    <a:defRPr>
                      <a:solidFill>
                        <a:srgbClr val="FF33CC"/>
                      </a:solidFill>
                    </a:defRPr>
                  </a:pPr>
                  <a:endParaRPr lang="en-US"/>
                </a:p>
              </c:txPr>
            </c:trendlineLbl>
          </c:trendline>
          <c:xVal>
            <c:numRef>
              <c:f>Méthode!$T$18:$T$24</c:f>
              <c:numCache>
                <c:formatCode>0.0000</c:formatCode>
                <c:ptCount val="7"/>
                <c:pt idx="0">
                  <c:v>-2.6605532578841791</c:v>
                </c:pt>
                <c:pt idx="1">
                  <c:v>-1.746661976392049</c:v>
                </c:pt>
                <c:pt idx="2">
                  <c:v>-1.0158866417223078</c:v>
                </c:pt>
                <c:pt idx="3">
                  <c:v>-0.33492430178104132</c:v>
                </c:pt>
                <c:pt idx="4">
                  <c:v>0.44064864091055989</c:v>
                </c:pt>
                <c:pt idx="5">
                  <c:v>1.5161902940480383</c:v>
                </c:pt>
                <c:pt idx="6">
                  <c:v>3.2238040870214846</c:v>
                </c:pt>
              </c:numCache>
            </c:numRef>
          </c:xVal>
          <c:yVal>
            <c:numRef>
              <c:f>Méthode!$S$18:$S$24</c:f>
              <c:numCache>
                <c:formatCode>0.0000</c:formatCode>
                <c:ptCount val="7"/>
                <c:pt idx="0">
                  <c:v>#N/A</c:v>
                </c:pt>
                <c:pt idx="1">
                  <c:v>-1.8091076722563484</c:v>
                </c:pt>
                <c:pt idx="2">
                  <c:v>-0.946592601546139</c:v>
                </c:pt>
                <c:pt idx="3">
                  <c:v>-0.41595710274467446</c:v>
                </c:pt>
                <c:pt idx="4">
                  <c:v>0.37449271282937358</c:v>
                </c:pt>
                <c:pt idx="5">
                  <c:v>1.2215118459493377</c:v>
                </c:pt>
                <c:pt idx="6">
                  <c:v>2.4305631925668547</c:v>
                </c:pt>
              </c:numCache>
            </c:numRef>
          </c:yVal>
          <c:smooth val="0"/>
        </c:ser>
        <c:dLbls>
          <c:showLegendKey val="0"/>
          <c:showVal val="0"/>
          <c:showCatName val="0"/>
          <c:showSerName val="0"/>
          <c:showPercent val="0"/>
          <c:showBubbleSize val="0"/>
        </c:dLbls>
        <c:axId val="857688224"/>
        <c:axId val="857688784"/>
      </c:scatterChart>
      <c:valAx>
        <c:axId val="857688224"/>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857688784"/>
        <c:crosses val="autoZero"/>
        <c:crossBetween val="midCat"/>
        <c:majorUnit val="1"/>
      </c:valAx>
      <c:valAx>
        <c:axId val="857688784"/>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857688224"/>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1"/>
            <c:trendlineLbl>
              <c:layout>
                <c:manualLayout>
                  <c:x val="-6.4960625076904172E-2"/>
                  <c:y val="1.6972437408146621E-2"/>
                </c:manualLayout>
              </c:layout>
              <c:numFmt formatCode="General" sourceLinked="0"/>
              <c:txPr>
                <a:bodyPr/>
                <a:lstStyle/>
                <a:p>
                  <a:pPr>
                    <a:defRPr>
                      <a:solidFill>
                        <a:schemeClr val="accent1"/>
                      </a:solidFill>
                    </a:defRPr>
                  </a:pPr>
                  <a:endParaRPr lang="en-US"/>
                </a:p>
              </c:txPr>
            </c:trendlineLbl>
          </c:trendline>
          <c:xVal>
            <c:numRef>
              <c:f>Méthode!$W$6:$W$12</c:f>
              <c:numCache>
                <c:formatCode>0.0000</c:formatCode>
                <c:ptCount val="7"/>
                <c:pt idx="0">
                  <c:v>#N/A</c:v>
                </c:pt>
                <c:pt idx="1">
                  <c:v>-1.4527111363647451</c:v>
                </c:pt>
                <c:pt idx="2">
                  <c:v>-0.74260265424673</c:v>
                </c:pt>
                <c:pt idx="3">
                  <c:v>-3.6423874753142363E-2</c:v>
                </c:pt>
                <c:pt idx="4">
                  <c:v>0.84054780591080702</c:v>
                </c:pt>
                <c:pt idx="5">
                  <c:v>2.179944634001882</c:v>
                </c:pt>
                <c:pt idx="6">
                  <c:v>#N/A</c:v>
                </c:pt>
              </c:numCache>
            </c:numRef>
          </c:xVal>
          <c:yVal>
            <c:numRef>
              <c:f>Méthode!$V$6:$V$12</c:f>
              <c:numCache>
                <c:formatCode>0.0000</c:formatCode>
                <c:ptCount val="7"/>
                <c:pt idx="0">
                  <c:v>#N/A</c:v>
                </c:pt>
                <c:pt idx="1">
                  <c:v>-1.4842136387674116</c:v>
                </c:pt>
                <c:pt idx="2">
                  <c:v>-0.72030227523440093</c:v>
                </c:pt>
                <c:pt idx="3">
                  <c:v>-4.828514638008663E-2</c:v>
                </c:pt>
                <c:pt idx="4">
                  <c:v>0.79610385446126941</c:v>
                </c:pt>
                <c:pt idx="5">
                  <c:v>2.1530332898220284</c:v>
                </c:pt>
                <c:pt idx="6">
                  <c:v>#N/A</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1"/>
            <c:trendlineLbl>
              <c:layout>
                <c:manualLayout>
                  <c:x val="-0.17431534801689857"/>
                  <c:y val="0.37051752940931248"/>
                </c:manualLayout>
              </c:layout>
              <c:numFmt formatCode="General" sourceLinked="0"/>
              <c:txPr>
                <a:bodyPr/>
                <a:lstStyle/>
                <a:p>
                  <a:pPr>
                    <a:defRPr>
                      <a:solidFill>
                        <a:srgbClr val="FF33CC"/>
                      </a:solidFill>
                    </a:defRPr>
                  </a:pPr>
                  <a:endParaRPr lang="en-US"/>
                </a:p>
              </c:txPr>
            </c:trendlineLbl>
          </c:trendline>
          <c:xVal>
            <c:numRef>
              <c:f>Méthode!$W$18:$W$24</c:f>
              <c:numCache>
                <c:formatCode>0.0000</c:formatCode>
                <c:ptCount val="7"/>
                <c:pt idx="0">
                  <c:v>#N/A</c:v>
                </c:pt>
                <c:pt idx="1">
                  <c:v>-1.746661976392049</c:v>
                </c:pt>
                <c:pt idx="2">
                  <c:v>-1.0158866417223078</c:v>
                </c:pt>
                <c:pt idx="3">
                  <c:v>-0.33492430178104132</c:v>
                </c:pt>
                <c:pt idx="4">
                  <c:v>0.44064864091055989</c:v>
                </c:pt>
                <c:pt idx="5">
                  <c:v>1.5161902940480383</c:v>
                </c:pt>
                <c:pt idx="6">
                  <c:v>#N/A</c:v>
                </c:pt>
              </c:numCache>
            </c:numRef>
          </c:xVal>
          <c:yVal>
            <c:numRef>
              <c:f>Méthode!$V$18:$V$24</c:f>
              <c:numCache>
                <c:formatCode>0.0000</c:formatCode>
                <c:ptCount val="7"/>
                <c:pt idx="0">
                  <c:v>#N/A</c:v>
                </c:pt>
                <c:pt idx="1">
                  <c:v>-1.8091076722563484</c:v>
                </c:pt>
                <c:pt idx="2">
                  <c:v>-0.946592601546139</c:v>
                </c:pt>
                <c:pt idx="3">
                  <c:v>-0.41595710274467446</c:v>
                </c:pt>
                <c:pt idx="4">
                  <c:v>0.37449271282937358</c:v>
                </c:pt>
                <c:pt idx="5">
                  <c:v>1.2215118459493377</c:v>
                </c:pt>
                <c:pt idx="6">
                  <c:v>#N/A</c:v>
                </c:pt>
              </c:numCache>
            </c:numRef>
          </c:yVal>
          <c:smooth val="0"/>
        </c:ser>
        <c:dLbls>
          <c:showLegendKey val="0"/>
          <c:showVal val="0"/>
          <c:showCatName val="0"/>
          <c:showSerName val="0"/>
          <c:showPercent val="0"/>
          <c:showBubbleSize val="0"/>
        </c:dLbls>
        <c:axId val="1075232112"/>
        <c:axId val="1075232672"/>
      </c:scatterChart>
      <c:valAx>
        <c:axId val="1075232112"/>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1075232672"/>
        <c:crosses val="autoZero"/>
        <c:crossBetween val="midCat"/>
        <c:majorUnit val="1"/>
      </c:valAx>
      <c:valAx>
        <c:axId val="1075232672"/>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1075232112"/>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All points</c:v>
          </c:tx>
          <c:spPr>
            <a:ln>
              <a:noFill/>
            </a:ln>
          </c:spPr>
          <c:marker>
            <c:spPr>
              <a:solidFill>
                <a:schemeClr val="tx1"/>
              </a:solidFill>
            </c:spPr>
          </c:marker>
          <c:trendline>
            <c:spPr>
              <a:ln w="28575">
                <a:solidFill>
                  <a:schemeClr val="tx1"/>
                </a:solidFill>
              </a:ln>
            </c:spPr>
            <c:trendlineType val="linear"/>
            <c:dispRSqr val="0"/>
            <c:dispEq val="1"/>
            <c:trendlineLbl>
              <c:layout>
                <c:manualLayout>
                  <c:x val="-6.4960625076904172E-2"/>
                  <c:y val="1.6972437408146621E-2"/>
                </c:manualLayout>
              </c:layout>
              <c:numFmt formatCode="General" sourceLinked="0"/>
              <c:txPr>
                <a:bodyPr/>
                <a:lstStyle/>
                <a:p>
                  <a:pPr>
                    <a:defRPr>
                      <a:solidFill>
                        <a:sysClr val="windowText" lastClr="000000"/>
                      </a:solidFill>
                    </a:defRPr>
                  </a:pPr>
                  <a:endParaRPr lang="en-US"/>
                </a:p>
              </c:txPr>
            </c:trendlineLbl>
          </c:trendline>
          <c:xVal>
            <c:numRef>
              <c:f>Méthode!$W$6:$W$25</c:f>
              <c:numCache>
                <c:formatCode>0.0000</c:formatCode>
                <c:ptCount val="20"/>
                <c:pt idx="0">
                  <c:v>#N/A</c:v>
                </c:pt>
                <c:pt idx="1">
                  <c:v>-1.4527111363647451</c:v>
                </c:pt>
                <c:pt idx="2">
                  <c:v>-0.74260265424673</c:v>
                </c:pt>
                <c:pt idx="3">
                  <c:v>-3.6423874753142363E-2</c:v>
                </c:pt>
                <c:pt idx="4">
                  <c:v>0.84054780591080702</c:v>
                </c:pt>
                <c:pt idx="5">
                  <c:v>2.179944634001882</c:v>
                </c:pt>
                <c:pt idx="6">
                  <c:v>#N/A</c:v>
                </c:pt>
                <c:pt idx="7">
                  <c:v>#N/A</c:v>
                </c:pt>
                <c:pt idx="12">
                  <c:v>#N/A</c:v>
                </c:pt>
                <c:pt idx="13">
                  <c:v>-1.746661976392049</c:v>
                </c:pt>
                <c:pt idx="14">
                  <c:v>-1.0158866417223078</c:v>
                </c:pt>
                <c:pt idx="15">
                  <c:v>-0.33492430178104132</c:v>
                </c:pt>
                <c:pt idx="16">
                  <c:v>0.44064864091055989</c:v>
                </c:pt>
                <c:pt idx="17">
                  <c:v>1.5161902940480383</c:v>
                </c:pt>
                <c:pt idx="18">
                  <c:v>#N/A</c:v>
                </c:pt>
                <c:pt idx="19">
                  <c:v>#N/A</c:v>
                </c:pt>
              </c:numCache>
            </c:numRef>
          </c:xVal>
          <c:yVal>
            <c:numRef>
              <c:f>Méthode!$V$6:$V$25</c:f>
              <c:numCache>
                <c:formatCode>0.0000</c:formatCode>
                <c:ptCount val="20"/>
                <c:pt idx="0">
                  <c:v>#N/A</c:v>
                </c:pt>
                <c:pt idx="1">
                  <c:v>-1.4842136387674116</c:v>
                </c:pt>
                <c:pt idx="2">
                  <c:v>-0.72030227523440093</c:v>
                </c:pt>
                <c:pt idx="3">
                  <c:v>-4.828514638008663E-2</c:v>
                </c:pt>
                <c:pt idx="4">
                  <c:v>0.79610385446126941</c:v>
                </c:pt>
                <c:pt idx="5">
                  <c:v>2.1530332898220284</c:v>
                </c:pt>
                <c:pt idx="6">
                  <c:v>#N/A</c:v>
                </c:pt>
                <c:pt idx="7">
                  <c:v>#N/A</c:v>
                </c:pt>
                <c:pt idx="12">
                  <c:v>#N/A</c:v>
                </c:pt>
                <c:pt idx="13">
                  <c:v>-1.8091076722563484</c:v>
                </c:pt>
                <c:pt idx="14">
                  <c:v>-0.946592601546139</c:v>
                </c:pt>
                <c:pt idx="15">
                  <c:v>-0.41595710274467446</c:v>
                </c:pt>
                <c:pt idx="16">
                  <c:v>0.37449271282937358</c:v>
                </c:pt>
                <c:pt idx="17">
                  <c:v>1.2215118459493377</c:v>
                </c:pt>
                <c:pt idx="18">
                  <c:v>#N/A</c:v>
                </c:pt>
                <c:pt idx="19">
                  <c:v>#N/A</c:v>
                </c:pt>
              </c:numCache>
            </c:numRef>
          </c:yVal>
          <c:smooth val="0"/>
        </c:ser>
        <c:dLbls>
          <c:showLegendKey val="0"/>
          <c:showVal val="0"/>
          <c:showCatName val="0"/>
          <c:showSerName val="0"/>
          <c:showPercent val="0"/>
          <c:showBubbleSize val="0"/>
        </c:dLbls>
        <c:axId val="1075234912"/>
        <c:axId val="1081601696"/>
      </c:scatterChart>
      <c:valAx>
        <c:axId val="1075234912"/>
        <c:scaling>
          <c:orientation val="minMax"/>
        </c:scaling>
        <c:delete val="0"/>
        <c:axPos val="b"/>
        <c:title>
          <c:tx>
            <c:rich>
              <a:bodyPr/>
              <a:lstStyle/>
              <a:p>
                <a:pPr>
                  <a:defRPr/>
                </a:pPr>
                <a:r>
                  <a:rPr lang="en-ZA" i="1"/>
                  <a:t>g</a:t>
                </a:r>
                <a:r>
                  <a:rPr lang="en-ZA"/>
                  <a:t>()</a:t>
                </a:r>
              </a:p>
            </c:rich>
          </c:tx>
          <c:overlay val="0"/>
        </c:title>
        <c:numFmt formatCode="0" sourceLinked="0"/>
        <c:majorTickMark val="out"/>
        <c:minorTickMark val="none"/>
        <c:tickLblPos val="nextTo"/>
        <c:crossAx val="1081601696"/>
        <c:crosses val="autoZero"/>
        <c:crossBetween val="midCat"/>
        <c:majorUnit val="1"/>
      </c:valAx>
      <c:valAx>
        <c:axId val="1081601696"/>
        <c:scaling>
          <c:orientation val="minMax"/>
        </c:scaling>
        <c:delete val="0"/>
        <c:axPos val="l"/>
        <c:title>
          <c:tx>
            <c:rich>
              <a:bodyPr rot="-5400000" vert="horz"/>
              <a:lstStyle/>
              <a:p>
                <a:pPr>
                  <a:defRPr/>
                </a:pPr>
                <a:r>
                  <a:rPr lang="en-US" i="1"/>
                  <a:t>z</a:t>
                </a:r>
                <a:r>
                  <a:rPr lang="en-US"/>
                  <a:t>()-</a:t>
                </a:r>
                <a:r>
                  <a:rPr lang="en-US" i="1"/>
                  <a:t>e</a:t>
                </a:r>
                <a:r>
                  <a:rPr lang="en-US"/>
                  <a:t>()</a:t>
                </a:r>
              </a:p>
            </c:rich>
          </c:tx>
          <c:overlay val="0"/>
        </c:title>
        <c:numFmt formatCode="0" sourceLinked="0"/>
        <c:majorTickMark val="out"/>
        <c:minorTickMark val="none"/>
        <c:tickLblPos val="nextTo"/>
        <c:crossAx val="1075234912"/>
        <c:crosses val="autoZero"/>
        <c:crossBetween val="midCat"/>
      </c:valAx>
      <c:spPr>
        <a:solidFill>
          <a:schemeClr val="bg1"/>
        </a:solidFill>
      </c:spPr>
    </c:plotArea>
    <c:legend>
      <c:legendPos val="b"/>
      <c:legendEntry>
        <c:idx val="1"/>
        <c:delete val="1"/>
      </c:legendEntry>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Introduction!$E$9</c:f>
          <c:strCache>
            <c:ptCount val="1"/>
            <c:pt idx="0">
              <c:v>Malawi 2008</c:v>
            </c:pt>
          </c:strCache>
        </c:strRef>
      </c:tx>
      <c:layout/>
      <c:overlay val="0"/>
    </c:title>
    <c:autoTitleDeleted val="0"/>
    <c:plotArea>
      <c:layout/>
      <c:lineChart>
        <c:grouping val="standard"/>
        <c:varyColors val="0"/>
        <c:ser>
          <c:idx val="0"/>
          <c:order val="0"/>
          <c:tx>
            <c:strRef>
              <c:f>Méthode!$D$5:$D$6</c:f>
              <c:strCache>
                <c:ptCount val="2"/>
                <c:pt idx="0">
                  <c:v>Taux de fécondité observés</c:v>
                </c:pt>
                <c:pt idx="1">
                  <c:v>(âge décalé)</c:v>
                </c:pt>
              </c:strCache>
            </c:strRef>
          </c:tx>
          <c:marker>
            <c:symbol val="none"/>
          </c:marker>
          <c:cat>
            <c:strRef>
              <c:f>Méthode!$A$8:$A$14</c:f>
              <c:strCache>
                <c:ptCount val="7"/>
                <c:pt idx="0">
                  <c:v>15-19</c:v>
                </c:pt>
                <c:pt idx="1">
                  <c:v>20-24</c:v>
                </c:pt>
                <c:pt idx="2">
                  <c:v>25-29</c:v>
                </c:pt>
                <c:pt idx="3">
                  <c:v>30-34</c:v>
                </c:pt>
                <c:pt idx="4">
                  <c:v>35-39</c:v>
                </c:pt>
                <c:pt idx="5">
                  <c:v>40-44</c:v>
                </c:pt>
                <c:pt idx="6">
                  <c:v>45-49</c:v>
                </c:pt>
              </c:strCache>
            </c:strRef>
          </c:cat>
          <c:val>
            <c:numRef>
              <c:f>Méthode!$D$8:$D$14</c:f>
              <c:numCache>
                <c:formatCode>0.000</c:formatCode>
                <c:ptCount val="7"/>
                <c:pt idx="0">
                  <c:v>0.111</c:v>
                </c:pt>
                <c:pt idx="1">
                  <c:v>0.245</c:v>
                </c:pt>
                <c:pt idx="2">
                  <c:v>0.23</c:v>
                </c:pt>
                <c:pt idx="3">
                  <c:v>0.19500000000000001</c:v>
                </c:pt>
                <c:pt idx="4">
                  <c:v>0.14699999999999999</c:v>
                </c:pt>
                <c:pt idx="5">
                  <c:v>7.1999999999999995E-2</c:v>
                </c:pt>
                <c:pt idx="6">
                  <c:v>3.2000000000000001E-2</c:v>
                </c:pt>
              </c:numCache>
            </c:numRef>
          </c:val>
          <c:smooth val="0"/>
        </c:ser>
        <c:ser>
          <c:idx val="1"/>
          <c:order val="1"/>
          <c:tx>
            <c:strRef>
              <c:f>Méthode!$F$5:$F$6</c:f>
              <c:strCache>
                <c:ptCount val="2"/>
                <c:pt idx="0">
                  <c:v>Taux de fécondité corrigés</c:v>
                </c:pt>
                <c:pt idx="1">
                  <c:v>(âge réel)</c:v>
                </c:pt>
              </c:strCache>
            </c:strRef>
          </c:tx>
          <c:spPr>
            <a:ln>
              <a:solidFill>
                <a:srgbClr val="FF33CC"/>
              </a:solidFill>
              <a:prstDash val="sysDash"/>
            </a:ln>
          </c:spPr>
          <c:marker>
            <c:symbol val="none"/>
          </c:marker>
          <c:cat>
            <c:strRef>
              <c:f>Méthode!$A$8:$A$14</c:f>
              <c:strCache>
                <c:ptCount val="7"/>
                <c:pt idx="0">
                  <c:v>15-19</c:v>
                </c:pt>
                <c:pt idx="1">
                  <c:v>20-24</c:v>
                </c:pt>
                <c:pt idx="2">
                  <c:v>25-29</c:v>
                </c:pt>
                <c:pt idx="3">
                  <c:v>30-34</c:v>
                </c:pt>
                <c:pt idx="4">
                  <c:v>35-39</c:v>
                </c:pt>
                <c:pt idx="5">
                  <c:v>40-44</c:v>
                </c:pt>
                <c:pt idx="6">
                  <c:v>45-49</c:v>
                </c:pt>
              </c:strCache>
            </c:strRef>
          </c:cat>
          <c:val>
            <c:numRef>
              <c:f>Méthode!$F$8:$F$14</c:f>
              <c:numCache>
                <c:formatCode>0.000</c:formatCode>
                <c:ptCount val="7"/>
                <c:pt idx="0">
                  <c:v>0.15183199330617073</c:v>
                </c:pt>
                <c:pt idx="1">
                  <c:v>0.28039270021127055</c:v>
                </c:pt>
                <c:pt idx="2">
                  <c:v>0.27814435115886321</c:v>
                </c:pt>
                <c:pt idx="3">
                  <c:v>0.23451039074155541</c:v>
                </c:pt>
                <c:pt idx="4">
                  <c:v>0.17520852633405201</c:v>
                </c:pt>
                <c:pt idx="5">
                  <c:v>8.5513869027354333E-2</c:v>
                </c:pt>
                <c:pt idx="6">
                  <c:v>1.2287004755799736E-2</c:v>
                </c:pt>
              </c:numCache>
            </c:numRef>
          </c:val>
          <c:smooth val="0"/>
        </c:ser>
        <c:dLbls>
          <c:showLegendKey val="0"/>
          <c:showVal val="0"/>
          <c:showCatName val="0"/>
          <c:showSerName val="0"/>
          <c:showPercent val="0"/>
          <c:showBubbleSize val="0"/>
        </c:dLbls>
        <c:smooth val="0"/>
        <c:axId val="1081604496"/>
        <c:axId val="1081605056"/>
      </c:lineChart>
      <c:catAx>
        <c:axId val="1081604496"/>
        <c:scaling>
          <c:orientation val="minMax"/>
        </c:scaling>
        <c:delete val="0"/>
        <c:axPos val="b"/>
        <c:title>
          <c:tx>
            <c:rich>
              <a:bodyPr/>
              <a:lstStyle/>
              <a:p>
                <a:pPr>
                  <a:defRPr/>
                </a:pPr>
                <a:r>
                  <a:rPr lang="en-ZA"/>
                  <a:t>Age group</a:t>
                </a:r>
              </a:p>
            </c:rich>
          </c:tx>
          <c:layout/>
          <c:overlay val="0"/>
        </c:title>
        <c:numFmt formatCode="General" sourceLinked="1"/>
        <c:majorTickMark val="out"/>
        <c:minorTickMark val="none"/>
        <c:tickLblPos val="nextTo"/>
        <c:crossAx val="1081605056"/>
        <c:crosses val="autoZero"/>
        <c:auto val="1"/>
        <c:lblAlgn val="ctr"/>
        <c:lblOffset val="100"/>
        <c:noMultiLvlLbl val="0"/>
      </c:catAx>
      <c:valAx>
        <c:axId val="1081605056"/>
        <c:scaling>
          <c:orientation val="minMax"/>
        </c:scaling>
        <c:delete val="0"/>
        <c:axPos val="l"/>
        <c:numFmt formatCode="0.00" sourceLinked="0"/>
        <c:majorTickMark val="out"/>
        <c:minorTickMark val="none"/>
        <c:tickLblPos val="nextTo"/>
        <c:crossAx val="1081604496"/>
        <c:crosses val="autoZero"/>
        <c:crossBetween val="between"/>
      </c:valAx>
      <c:spPr>
        <a:solidFill>
          <a:schemeClr val="bg1"/>
        </a:solidFill>
      </c:spPr>
    </c:plotArea>
    <c:legend>
      <c:legendPos val="b"/>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Introduction!$E$9</c:f>
          <c:strCache>
            <c:ptCount val="1"/>
            <c:pt idx="0">
              <c:v>Malawi 2008</c:v>
            </c:pt>
          </c:strCache>
        </c:strRef>
      </c:tx>
      <c:layout/>
      <c:overlay val="0"/>
    </c:title>
    <c:autoTitleDeleted val="0"/>
    <c:plotArea>
      <c:layout/>
      <c:lineChart>
        <c:grouping val="standard"/>
        <c:varyColors val="0"/>
        <c:ser>
          <c:idx val="0"/>
          <c:order val="0"/>
          <c:tx>
            <c:strRef>
              <c:f>Méthode!$O$29</c:f>
              <c:strCache>
                <c:ptCount val="1"/>
                <c:pt idx="0">
                  <c:v>Courbe de fécondité ajustée</c:v>
                </c:pt>
              </c:strCache>
            </c:strRef>
          </c:tx>
          <c:marker>
            <c:symbol val="none"/>
          </c:marker>
          <c:cat>
            <c:numRef>
              <c:f>Méthode!$O$33:$O$113</c:f>
              <c:numCache>
                <c:formatCode>General</c:formatCode>
                <c:ptCount val="81"/>
                <c:pt idx="0">
                  <c:v>10</c:v>
                </c:pt>
                <c:pt idx="1">
                  <c:v>10.5</c:v>
                </c:pt>
                <c:pt idx="2">
                  <c:v>11</c:v>
                </c:pt>
                <c:pt idx="3">
                  <c:v>11.5</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20</c:v>
                </c:pt>
                <c:pt idx="21">
                  <c:v>20.5</c:v>
                </c:pt>
                <c:pt idx="22">
                  <c:v>21</c:v>
                </c:pt>
                <c:pt idx="23">
                  <c:v>21.5</c:v>
                </c:pt>
                <c:pt idx="24">
                  <c:v>22</c:v>
                </c:pt>
                <c:pt idx="25">
                  <c:v>22.5</c:v>
                </c:pt>
                <c:pt idx="26">
                  <c:v>23</c:v>
                </c:pt>
                <c:pt idx="27">
                  <c:v>23.5</c:v>
                </c:pt>
                <c:pt idx="28">
                  <c:v>24</c:v>
                </c:pt>
                <c:pt idx="29">
                  <c:v>24.5</c:v>
                </c:pt>
                <c:pt idx="30">
                  <c:v>25</c:v>
                </c:pt>
                <c:pt idx="31">
                  <c:v>25.5</c:v>
                </c:pt>
                <c:pt idx="32">
                  <c:v>26</c:v>
                </c:pt>
                <c:pt idx="33">
                  <c:v>26.5</c:v>
                </c:pt>
                <c:pt idx="34">
                  <c:v>27</c:v>
                </c:pt>
                <c:pt idx="35">
                  <c:v>27.5</c:v>
                </c:pt>
                <c:pt idx="36">
                  <c:v>28</c:v>
                </c:pt>
                <c:pt idx="37">
                  <c:v>28.5</c:v>
                </c:pt>
                <c:pt idx="38">
                  <c:v>29</c:v>
                </c:pt>
                <c:pt idx="39">
                  <c:v>29.5</c:v>
                </c:pt>
                <c:pt idx="40">
                  <c:v>30</c:v>
                </c:pt>
                <c:pt idx="41">
                  <c:v>30.5</c:v>
                </c:pt>
                <c:pt idx="42">
                  <c:v>31</c:v>
                </c:pt>
                <c:pt idx="43">
                  <c:v>31.5</c:v>
                </c:pt>
                <c:pt idx="44">
                  <c:v>32</c:v>
                </c:pt>
                <c:pt idx="45">
                  <c:v>32.5</c:v>
                </c:pt>
                <c:pt idx="46">
                  <c:v>33</c:v>
                </c:pt>
                <c:pt idx="47">
                  <c:v>33.5</c:v>
                </c:pt>
                <c:pt idx="48">
                  <c:v>34</c:v>
                </c:pt>
                <c:pt idx="49">
                  <c:v>34.5</c:v>
                </c:pt>
                <c:pt idx="50">
                  <c:v>35</c:v>
                </c:pt>
                <c:pt idx="51">
                  <c:v>35.5</c:v>
                </c:pt>
                <c:pt idx="52">
                  <c:v>36</c:v>
                </c:pt>
                <c:pt idx="53">
                  <c:v>36.5</c:v>
                </c:pt>
                <c:pt idx="54">
                  <c:v>37</c:v>
                </c:pt>
                <c:pt idx="55">
                  <c:v>37.5</c:v>
                </c:pt>
                <c:pt idx="56">
                  <c:v>38</c:v>
                </c:pt>
                <c:pt idx="57">
                  <c:v>38.5</c:v>
                </c:pt>
                <c:pt idx="58">
                  <c:v>39</c:v>
                </c:pt>
                <c:pt idx="59">
                  <c:v>39.5</c:v>
                </c:pt>
                <c:pt idx="60">
                  <c:v>40</c:v>
                </c:pt>
                <c:pt idx="61">
                  <c:v>40.5</c:v>
                </c:pt>
                <c:pt idx="62">
                  <c:v>41</c:v>
                </c:pt>
                <c:pt idx="63">
                  <c:v>41.5</c:v>
                </c:pt>
                <c:pt idx="64">
                  <c:v>42</c:v>
                </c:pt>
                <c:pt idx="65">
                  <c:v>42.5</c:v>
                </c:pt>
                <c:pt idx="66">
                  <c:v>43</c:v>
                </c:pt>
                <c:pt idx="67">
                  <c:v>43.5</c:v>
                </c:pt>
                <c:pt idx="68">
                  <c:v>44</c:v>
                </c:pt>
                <c:pt idx="69">
                  <c:v>44.5</c:v>
                </c:pt>
                <c:pt idx="70">
                  <c:v>45</c:v>
                </c:pt>
                <c:pt idx="71">
                  <c:v>45.5</c:v>
                </c:pt>
                <c:pt idx="72">
                  <c:v>46</c:v>
                </c:pt>
                <c:pt idx="73">
                  <c:v>46.5</c:v>
                </c:pt>
                <c:pt idx="74">
                  <c:v>47</c:v>
                </c:pt>
                <c:pt idx="75">
                  <c:v>47.5</c:v>
                </c:pt>
                <c:pt idx="76">
                  <c:v>48</c:v>
                </c:pt>
                <c:pt idx="77">
                  <c:v>48.5</c:v>
                </c:pt>
                <c:pt idx="78">
                  <c:v>49</c:v>
                </c:pt>
                <c:pt idx="79">
                  <c:v>49.5</c:v>
                </c:pt>
                <c:pt idx="80">
                  <c:v>50</c:v>
                </c:pt>
              </c:numCache>
            </c:numRef>
          </c:cat>
          <c:val>
            <c:numRef>
              <c:f>Méthode!$Q$33:$Q$113</c:f>
              <c:numCache>
                <c:formatCode>0.0000</c:formatCode>
                <c:ptCount val="81"/>
                <c:pt idx="2">
                  <c:v>0</c:v>
                </c:pt>
                <c:pt idx="3">
                  <c:v>9.7393537670707357E-7</c:v>
                </c:pt>
                <c:pt idx="4">
                  <c:v>1.1527539874278666E-5</c:v>
                </c:pt>
                <c:pt idx="5">
                  <c:v>9.011553165327208E-5</c:v>
                </c:pt>
                <c:pt idx="6">
                  <c:v>4.0760609133115447E-4</c:v>
                </c:pt>
                <c:pt idx="7">
                  <c:v>1.451293252676697E-3</c:v>
                </c:pt>
                <c:pt idx="8">
                  <c:v>3.7255757758694543E-3</c:v>
                </c:pt>
                <c:pt idx="9">
                  <c:v>8.2502174959543564E-3</c:v>
                </c:pt>
                <c:pt idx="10">
                  <c:v>1.5111862965675942E-2</c:v>
                </c:pt>
                <c:pt idx="11">
                  <c:v>2.5176092078648238E-2</c:v>
                </c:pt>
                <c:pt idx="12">
                  <c:v>3.8042655449890772E-2</c:v>
                </c:pt>
                <c:pt idx="13">
                  <c:v>5.3935889139929312E-2</c:v>
                </c:pt>
                <c:pt idx="14">
                  <c:v>6.6967417274923682E-2</c:v>
                </c:pt>
                <c:pt idx="15">
                  <c:v>7.9368958368011833E-2</c:v>
                </c:pt>
                <c:pt idx="16">
                  <c:v>9.149534852077526E-2</c:v>
                </c:pt>
                <c:pt idx="17">
                  <c:v>0.10254360596034914</c:v>
                </c:pt>
                <c:pt idx="18">
                  <c:v>0.11136703029605721</c:v>
                </c:pt>
                <c:pt idx="19">
                  <c:v>0.11855543771848825</c:v>
                </c:pt>
                <c:pt idx="20">
                  <c:v>0.1259248445202612</c:v>
                </c:pt>
                <c:pt idx="21">
                  <c:v>0.13193829149493891</c:v>
                </c:pt>
                <c:pt idx="22">
                  <c:v>0.13592780422782841</c:v>
                </c:pt>
                <c:pt idx="23">
                  <c:v>0.13854311174147937</c:v>
                </c:pt>
                <c:pt idx="24">
                  <c:v>0.14095977948468907</c:v>
                </c:pt>
                <c:pt idx="25">
                  <c:v>0.14226764023907201</c:v>
                </c:pt>
                <c:pt idx="26">
                  <c:v>0.1436025053986395</c:v>
                </c:pt>
                <c:pt idx="27">
                  <c:v>0.14404181366685931</c:v>
                </c:pt>
                <c:pt idx="28">
                  <c:v>0.1444844819233283</c:v>
                </c:pt>
                <c:pt idx="29">
                  <c:v>0.14419089338582647</c:v>
                </c:pt>
                <c:pt idx="30">
                  <c:v>0.14447921431196997</c:v>
                </c:pt>
                <c:pt idx="31">
                  <c:v>0.14415110777957119</c:v>
                </c:pt>
                <c:pt idx="32">
                  <c:v>0.14359033985493475</c:v>
                </c:pt>
                <c:pt idx="33">
                  <c:v>0.14249815669582855</c:v>
                </c:pt>
                <c:pt idx="34">
                  <c:v>0.14127920025835783</c:v>
                </c:pt>
                <c:pt idx="35">
                  <c:v>0.13960723277341613</c:v>
                </c:pt>
                <c:pt idx="36">
                  <c:v>0.13823578884606835</c:v>
                </c:pt>
                <c:pt idx="37">
                  <c:v>0.13646319945981311</c:v>
                </c:pt>
                <c:pt idx="38">
                  <c:v>0.13472949921155442</c:v>
                </c:pt>
                <c:pt idx="39">
                  <c:v>0.1326411811885293</c:v>
                </c:pt>
                <c:pt idx="40">
                  <c:v>0.13041630579190144</c:v>
                </c:pt>
                <c:pt idx="41">
                  <c:v>0.12788807917004119</c:v>
                </c:pt>
                <c:pt idx="42">
                  <c:v>0.12538033993230924</c:v>
                </c:pt>
                <c:pt idx="43">
                  <c:v>0.12260775602158436</c:v>
                </c:pt>
                <c:pt idx="44">
                  <c:v>0.12013906155870191</c:v>
                </c:pt>
                <c:pt idx="45">
                  <c:v>0.11741295019654485</c:v>
                </c:pt>
                <c:pt idx="46">
                  <c:v>0.11484291384590506</c:v>
                </c:pt>
                <c:pt idx="47">
                  <c:v>0.11202428569415979</c:v>
                </c:pt>
                <c:pt idx="48">
                  <c:v>0.10930414320887927</c:v>
                </c:pt>
                <c:pt idx="49">
                  <c:v>0.10634290577155836</c:v>
                </c:pt>
                <c:pt idx="50">
                  <c:v>0.10357403699462653</c:v>
                </c:pt>
                <c:pt idx="51">
                  <c:v>0.10055303987171804</c:v>
                </c:pt>
                <c:pt idx="52">
                  <c:v>9.756684597770926E-2</c:v>
                </c:pt>
                <c:pt idx="53">
                  <c:v>9.4330898618131265E-2</c:v>
                </c:pt>
                <c:pt idx="54">
                  <c:v>9.1324058133513297E-2</c:v>
                </c:pt>
                <c:pt idx="55">
                  <c:v>8.8031992046774921E-2</c:v>
                </c:pt>
                <c:pt idx="56">
                  <c:v>8.4879433373910462E-2</c:v>
                </c:pt>
                <c:pt idx="57">
                  <c:v>8.140671625149043E-2</c:v>
                </c:pt>
                <c:pt idx="58">
                  <c:v>7.7693194559417034E-2</c:v>
                </c:pt>
                <c:pt idx="59">
                  <c:v>7.3698669047014942E-2</c:v>
                </c:pt>
                <c:pt idx="60">
                  <c:v>6.9224070430731643E-2</c:v>
                </c:pt>
                <c:pt idx="61">
                  <c:v>6.4589897355638914E-2</c:v>
                </c:pt>
                <c:pt idx="62">
                  <c:v>5.8897193132123604E-2</c:v>
                </c:pt>
                <c:pt idx="63">
                  <c:v>5.3398060516596679E-2</c:v>
                </c:pt>
                <c:pt idx="64">
                  <c:v>4.7804240521040153E-2</c:v>
                </c:pt>
                <c:pt idx="65">
                  <c:v>4.251452229984265E-2</c:v>
                </c:pt>
                <c:pt idx="66">
                  <c:v>3.6808425243736398E-2</c:v>
                </c:pt>
                <c:pt idx="67">
                  <c:v>3.1674634062604845E-2</c:v>
                </c:pt>
                <c:pt idx="68">
                  <c:v>2.6217098558461327E-2</c:v>
                </c:pt>
                <c:pt idx="69">
                  <c:v>2.1607558333703203E-2</c:v>
                </c:pt>
                <c:pt idx="70">
                  <c:v>1.7124996171716145E-2</c:v>
                </c:pt>
                <c:pt idx="71">
                  <c:v>1.3538126567027575E-2</c:v>
                </c:pt>
                <c:pt idx="72">
                  <c:v>1.0810175553818357E-2</c:v>
                </c:pt>
                <c:pt idx="73">
                  <c:v>8.5667524124302119E-3</c:v>
                </c:pt>
                <c:pt idx="74">
                  <c:v>6.7006383385055379E-3</c:v>
                </c:pt>
                <c:pt idx="75">
                  <c:v>5.14624219917037E-3</c:v>
                </c:pt>
                <c:pt idx="76">
                  <c:v>3.8504785633488581E-3</c:v>
                </c:pt>
                <c:pt idx="77">
                  <c:v>2.7159810503389892E-3</c:v>
                </c:pt>
                <c:pt idx="78">
                  <c:v>1.5845547841548679E-3</c:v>
                </c:pt>
                <c:pt idx="79">
                  <c:v>7.5390062036095884E-4</c:v>
                </c:pt>
                <c:pt idx="80">
                  <c:v>3.5092371968303837E-5</c:v>
                </c:pt>
              </c:numCache>
            </c:numRef>
          </c:val>
          <c:smooth val="0"/>
        </c:ser>
        <c:dLbls>
          <c:showLegendKey val="0"/>
          <c:showVal val="0"/>
          <c:showCatName val="0"/>
          <c:showSerName val="0"/>
          <c:showPercent val="0"/>
          <c:showBubbleSize val="0"/>
        </c:dLbls>
        <c:smooth val="0"/>
        <c:axId val="1029033136"/>
        <c:axId val="1029033696"/>
      </c:lineChart>
      <c:catAx>
        <c:axId val="1029033136"/>
        <c:scaling>
          <c:orientation val="minMax"/>
        </c:scaling>
        <c:delete val="0"/>
        <c:axPos val="b"/>
        <c:title>
          <c:tx>
            <c:rich>
              <a:bodyPr/>
              <a:lstStyle/>
              <a:p>
                <a:pPr>
                  <a:defRPr/>
                </a:pPr>
                <a:r>
                  <a:rPr lang="en-ZA"/>
                  <a:t>Age</a:t>
                </a:r>
              </a:p>
            </c:rich>
          </c:tx>
          <c:layout/>
          <c:overlay val="0"/>
        </c:title>
        <c:numFmt formatCode="General" sourceLinked="1"/>
        <c:majorTickMark val="out"/>
        <c:minorTickMark val="none"/>
        <c:tickLblPos val="nextTo"/>
        <c:crossAx val="1029033696"/>
        <c:crosses val="autoZero"/>
        <c:auto val="1"/>
        <c:lblAlgn val="ctr"/>
        <c:lblOffset val="100"/>
        <c:tickLblSkip val="10"/>
        <c:tickMarkSkip val="2"/>
        <c:noMultiLvlLbl val="0"/>
      </c:catAx>
      <c:valAx>
        <c:axId val="1029033696"/>
        <c:scaling>
          <c:orientation val="minMax"/>
        </c:scaling>
        <c:delete val="0"/>
        <c:axPos val="l"/>
        <c:numFmt formatCode="0.00" sourceLinked="0"/>
        <c:majorTickMark val="out"/>
        <c:minorTickMark val="none"/>
        <c:tickLblPos val="nextTo"/>
        <c:crossAx val="1029033136"/>
        <c:crosses val="autoZero"/>
        <c:crossBetween val="midCat"/>
      </c:valAx>
      <c:spPr>
        <a:solidFill>
          <a:schemeClr val="bg1"/>
        </a:solidFill>
      </c:spPr>
    </c:plotArea>
    <c:legend>
      <c:legendPos val="b"/>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P/F ratios</a:t>
            </a:r>
          </a:p>
        </c:rich>
      </c:tx>
      <c:layout/>
      <c:overlay val="0"/>
    </c:title>
    <c:autoTitleDeleted val="0"/>
    <c:plotArea>
      <c:layout/>
      <c:lineChart>
        <c:grouping val="standard"/>
        <c:varyColors val="0"/>
        <c:ser>
          <c:idx val="0"/>
          <c:order val="0"/>
          <c:tx>
            <c:v>All points</c:v>
          </c:tx>
          <c:spPr>
            <a:ln>
              <a:solidFill>
                <a:schemeClr val="accent1"/>
              </a:solidFill>
            </a:ln>
          </c:spPr>
          <c:marker>
            <c:symbol val="none"/>
          </c:marker>
          <c:cat>
            <c:strRef>
              <c:f>Méthode!$AC$59:$AC$64</c:f>
              <c:strCache>
                <c:ptCount val="6"/>
                <c:pt idx="0">
                  <c:v>20-24</c:v>
                </c:pt>
                <c:pt idx="1">
                  <c:v>25-29</c:v>
                </c:pt>
                <c:pt idx="2">
                  <c:v>30-34</c:v>
                </c:pt>
                <c:pt idx="3">
                  <c:v>35-39</c:v>
                </c:pt>
                <c:pt idx="4">
                  <c:v>40-44</c:v>
                </c:pt>
                <c:pt idx="5">
                  <c:v>45-49</c:v>
                </c:pt>
              </c:strCache>
            </c:strRef>
          </c:cat>
          <c:val>
            <c:numRef>
              <c:f>Méthode!$AG$59:$AG$64</c:f>
              <c:numCache>
                <c:formatCode>0.000</c:formatCode>
                <c:ptCount val="6"/>
                <c:pt idx="0">
                  <c:v>1.1903952347858111</c:v>
                </c:pt>
                <c:pt idx="1">
                  <c:v>1.1233452110074071</c:v>
                </c:pt>
                <c:pt idx="2">
                  <c:v>1.1508733453371986</c:v>
                </c:pt>
                <c:pt idx="3">
                  <c:v>1.1624689895843641</c:v>
                </c:pt>
                <c:pt idx="4">
                  <c:v>1.2020333188112391</c:v>
                </c:pt>
                <c:pt idx="5">
                  <c:v>1.2492135850892563</c:v>
                </c:pt>
              </c:numCache>
            </c:numRef>
          </c:val>
          <c:smooth val="0"/>
        </c:ser>
        <c:dLbls>
          <c:showLegendKey val="0"/>
          <c:showVal val="0"/>
          <c:showCatName val="0"/>
          <c:showSerName val="0"/>
          <c:showPercent val="0"/>
          <c:showBubbleSize val="0"/>
        </c:dLbls>
        <c:smooth val="0"/>
        <c:axId val="1071706704"/>
        <c:axId val="1071707264"/>
      </c:lineChart>
      <c:catAx>
        <c:axId val="1071706704"/>
        <c:scaling>
          <c:orientation val="maxMin"/>
        </c:scaling>
        <c:delete val="0"/>
        <c:axPos val="b"/>
        <c:title>
          <c:tx>
            <c:rich>
              <a:bodyPr/>
              <a:lstStyle/>
              <a:p>
                <a:pPr>
                  <a:defRPr/>
                </a:pPr>
                <a:r>
                  <a:rPr lang="en-US"/>
                  <a:t>Age group</a:t>
                </a:r>
              </a:p>
            </c:rich>
          </c:tx>
          <c:layout/>
          <c:overlay val="0"/>
        </c:title>
        <c:numFmt formatCode="General" sourceLinked="1"/>
        <c:majorTickMark val="out"/>
        <c:minorTickMark val="none"/>
        <c:tickLblPos val="nextTo"/>
        <c:crossAx val="1071707264"/>
        <c:crosses val="autoZero"/>
        <c:auto val="1"/>
        <c:lblAlgn val="ctr"/>
        <c:lblOffset val="100"/>
        <c:noMultiLvlLbl val="0"/>
      </c:catAx>
      <c:valAx>
        <c:axId val="1071707264"/>
        <c:scaling>
          <c:orientation val="minMax"/>
          <c:min val="1"/>
        </c:scaling>
        <c:delete val="0"/>
        <c:axPos val="r"/>
        <c:numFmt formatCode="#,##0.00" sourceLinked="0"/>
        <c:majorTickMark val="out"/>
        <c:minorTickMark val="none"/>
        <c:tickLblPos val="high"/>
        <c:crossAx val="1071706704"/>
        <c:crossesAt val="7"/>
        <c:crossBetween val="between"/>
      </c:valAx>
      <c:spPr>
        <a:solidFill>
          <a:schemeClr val="bg1"/>
        </a:solidFill>
      </c:spPr>
    </c:plotArea>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607218</xdr:colOff>
      <xdr:row>1</xdr:row>
      <xdr:rowOff>0</xdr:rowOff>
    </xdr:from>
    <xdr:to>
      <xdr:col>17</xdr:col>
      <xdr:colOff>36899</xdr:colOff>
      <xdr:row>28</xdr:row>
      <xdr:rowOff>67163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607218</xdr:colOff>
      <xdr:row>33</xdr:row>
      <xdr:rowOff>0</xdr:rowOff>
    </xdr:from>
    <xdr:to>
      <xdr:col>17</xdr:col>
      <xdr:colOff>36899</xdr:colOff>
      <xdr:row>60</xdr:row>
      <xdr:rowOff>67163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607218</xdr:colOff>
      <xdr:row>65</xdr:row>
      <xdr:rowOff>0</xdr:rowOff>
    </xdr:from>
    <xdr:to>
      <xdr:col>17</xdr:col>
      <xdr:colOff>36899</xdr:colOff>
      <xdr:row>99</xdr:row>
      <xdr:rowOff>138600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381000</xdr:colOff>
      <xdr:row>36</xdr:row>
      <xdr:rowOff>147603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xdr:row>
      <xdr:rowOff>0</xdr:rowOff>
    </xdr:from>
    <xdr:to>
      <xdr:col>32</xdr:col>
      <xdr:colOff>567578</xdr:colOff>
      <xdr:row>36</xdr:row>
      <xdr:rowOff>138600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612320</xdr:colOff>
      <xdr:row>39</xdr:row>
      <xdr:rowOff>0</xdr:rowOff>
    </xdr:from>
    <xdr:to>
      <xdr:col>16</xdr:col>
      <xdr:colOff>567577</xdr:colOff>
      <xdr:row>74</xdr:row>
      <xdr:rowOff>138600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user/?destination=content/relational-gompertz-model" TargetMode="External"/><Relationship Id="rId1" Type="http://schemas.openxmlformats.org/officeDocument/2006/relationships/hyperlink" Target="http://demographicestimation.iussp.org/content/relational-gompertz-mode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tabSelected="1" workbookViewId="0">
      <selection activeCell="E9" sqref="E9"/>
    </sheetView>
  </sheetViews>
  <sheetFormatPr defaultColWidth="9.140625" defaultRowHeight="15" x14ac:dyDescent="0.2"/>
  <cols>
    <col min="1" max="1" width="6.7109375" style="11" customWidth="1"/>
    <col min="2" max="2" width="110.7109375" style="17" customWidth="1"/>
    <col min="3" max="3" width="9.140625" style="11"/>
    <col min="4" max="4" width="31.42578125" style="13" customWidth="1"/>
    <col min="5" max="5" width="42.5703125" style="16" customWidth="1"/>
    <col min="6" max="6" width="9.140625" style="11" customWidth="1"/>
    <col min="7" max="16384" width="9.140625" style="11"/>
  </cols>
  <sheetData>
    <row r="1" spans="1:5" ht="15.75" x14ac:dyDescent="0.25">
      <c r="A1" s="126" t="s">
        <v>68</v>
      </c>
      <c r="B1" s="127"/>
    </row>
    <row r="3" spans="1:5" x14ac:dyDescent="0.2">
      <c r="A3" s="128" t="s">
        <v>69</v>
      </c>
      <c r="B3" s="128"/>
    </row>
    <row r="4" spans="1:5" x14ac:dyDescent="0.2">
      <c r="A4" s="129" t="s">
        <v>66</v>
      </c>
      <c r="B4" s="130"/>
      <c r="C4" s="14"/>
    </row>
    <row r="6" spans="1:5" ht="75" customHeight="1" x14ac:dyDescent="0.2">
      <c r="A6" s="131" t="s">
        <v>127</v>
      </c>
      <c r="B6" s="131"/>
    </row>
    <row r="7" spans="1:5" x14ac:dyDescent="0.2">
      <c r="A7" s="13"/>
    </row>
    <row r="8" spans="1:5" ht="15" customHeight="1" thickBot="1" x14ac:dyDescent="0.3">
      <c r="A8" s="15" t="s">
        <v>70</v>
      </c>
    </row>
    <row r="9" spans="1:5" ht="15.75" customHeight="1" x14ac:dyDescent="0.25">
      <c r="A9" s="22">
        <v>1</v>
      </c>
      <c r="B9" s="12" t="s">
        <v>71</v>
      </c>
      <c r="C9" s="13"/>
      <c r="D9" s="18" t="s">
        <v>76</v>
      </c>
      <c r="E9" s="61" t="s">
        <v>58</v>
      </c>
    </row>
    <row r="10" spans="1:5" x14ac:dyDescent="0.2">
      <c r="A10" s="22"/>
      <c r="B10" s="12"/>
      <c r="C10" s="13"/>
      <c r="D10" s="19"/>
      <c r="E10" s="110"/>
    </row>
    <row r="11" spans="1:5" ht="75" x14ac:dyDescent="0.2">
      <c r="A11" s="22">
        <v>2</v>
      </c>
      <c r="B11" s="12" t="s">
        <v>128</v>
      </c>
      <c r="C11" s="13"/>
      <c r="D11" s="20" t="s">
        <v>77</v>
      </c>
      <c r="E11" s="62" t="s">
        <v>121</v>
      </c>
    </row>
    <row r="12" spans="1:5" x14ac:dyDescent="0.2">
      <c r="A12" s="22"/>
      <c r="B12" s="12"/>
      <c r="C12" s="13"/>
      <c r="D12" s="19"/>
      <c r="E12" s="110"/>
    </row>
    <row r="13" spans="1:5" ht="60.75" thickBot="1" x14ac:dyDescent="0.25">
      <c r="A13" s="22">
        <v>3</v>
      </c>
      <c r="B13" s="12" t="s">
        <v>72</v>
      </c>
      <c r="C13" s="13"/>
      <c r="D13" s="21" t="s">
        <v>78</v>
      </c>
      <c r="E13" s="63" t="s">
        <v>125</v>
      </c>
    </row>
    <row r="14" spans="1:5" x14ac:dyDescent="0.2">
      <c r="A14" s="22"/>
      <c r="B14" s="12"/>
      <c r="C14" s="13"/>
    </row>
    <row r="15" spans="1:5" ht="30.75" x14ac:dyDescent="0.25">
      <c r="A15" s="22">
        <v>4</v>
      </c>
      <c r="B15" s="12" t="s">
        <v>129</v>
      </c>
      <c r="C15" s="13"/>
    </row>
    <row r="16" spans="1:5" ht="30" x14ac:dyDescent="0.2">
      <c r="A16" s="22"/>
      <c r="B16" s="12" t="s">
        <v>73</v>
      </c>
      <c r="C16" s="13"/>
    </row>
    <row r="17" spans="1:3" x14ac:dyDescent="0.2">
      <c r="A17" s="23"/>
      <c r="C17" s="13"/>
    </row>
    <row r="18" spans="1:3" ht="30.75" x14ac:dyDescent="0.25">
      <c r="A18" s="22">
        <v>5</v>
      </c>
      <c r="B18" s="12" t="s">
        <v>130</v>
      </c>
      <c r="C18" s="13"/>
    </row>
    <row r="19" spans="1:3" ht="30" x14ac:dyDescent="0.2">
      <c r="A19" s="22"/>
      <c r="B19" s="12" t="s">
        <v>74</v>
      </c>
      <c r="C19" s="13"/>
    </row>
    <row r="20" spans="1:3" x14ac:dyDescent="0.2">
      <c r="A20" s="22"/>
      <c r="B20" s="12"/>
      <c r="C20" s="13"/>
    </row>
    <row r="21" spans="1:3" ht="60.75" x14ac:dyDescent="0.2">
      <c r="A21" s="22">
        <v>6</v>
      </c>
      <c r="B21" s="12" t="s">
        <v>75</v>
      </c>
      <c r="C21" s="13"/>
    </row>
    <row r="22" spans="1:3" x14ac:dyDescent="0.2">
      <c r="A22" s="22"/>
      <c r="B22" s="12"/>
      <c r="C22" s="13"/>
    </row>
    <row r="23" spans="1:3" ht="60.75" x14ac:dyDescent="0.2">
      <c r="A23" s="22">
        <v>7</v>
      </c>
      <c r="B23" s="12" t="s">
        <v>131</v>
      </c>
      <c r="C23" s="13"/>
    </row>
    <row r="24" spans="1:3" x14ac:dyDescent="0.2">
      <c r="A24" s="22"/>
      <c r="B24" s="12"/>
      <c r="C24" s="13"/>
    </row>
    <row r="25" spans="1:3" ht="46.5" x14ac:dyDescent="0.25">
      <c r="A25" s="22">
        <v>8</v>
      </c>
      <c r="B25" s="12" t="s">
        <v>132</v>
      </c>
    </row>
    <row r="26" spans="1:3" x14ac:dyDescent="0.2">
      <c r="A26" s="23"/>
    </row>
    <row r="27" spans="1:3" ht="78" x14ac:dyDescent="0.25">
      <c r="A27" s="22">
        <v>9</v>
      </c>
      <c r="B27" s="12" t="s">
        <v>133</v>
      </c>
    </row>
  </sheetData>
  <sheetProtection sheet="1" objects="1" scenarios="1" selectLockedCells="1"/>
  <mergeCells count="4">
    <mergeCell ref="A1:B1"/>
    <mergeCell ref="A3:B3"/>
    <mergeCell ref="A4:B4"/>
    <mergeCell ref="A6:B6"/>
  </mergeCells>
  <dataValidations count="3">
    <dataValidation type="list" allowBlank="1" showInputMessage="1" showErrorMessage="1" errorTitle="Error" error="Please select a definition from the drop-down list." prompt="Select the period to which the fertility rates refer, together with the classification of the mother's age." sqref="E11">
      <formula1>Age_definition</formula1>
    </dataValidation>
    <dataValidation type="list" allowBlank="1" showInputMessage="1" showErrorMessage="1" prompt="Select the model variant you wish to use. _x000a_Default is &quot;Shape F; Level P&quot;. Other variants used under advisement. See website for details." sqref="E13">
      <formula1>model_selection</formula1>
    </dataValidation>
    <dataValidation type="list" showDropDown="1" showInputMessage="1" showErrorMessage="1" sqref="A4:B4">
      <formula1>"http://demographicestimation.iussp.org/content/relational-gompertz-model"</formula1>
    </dataValidation>
  </dataValidations>
  <hyperlinks>
    <hyperlink ref="A4" r:id="rId1"/>
    <hyperlink ref="A4:B4" r:id="rId2" display="http://demographicestimation.iussp.org/user/?destination=content/relational-gompertz-model"/>
  </hyperlinks>
  <pageMargins left="0.7" right="0.7" top="0.75" bottom="0.75" header="0.3" footer="0.3"/>
  <pageSetup paperSize="9" orientation="portrait" verticalDpi="200" r:id="rId3"/>
  <extLst>
    <ext xmlns:x14="http://schemas.microsoft.com/office/spreadsheetml/2009/9/main" uri="{CCE6A557-97BC-4b89-ADB6-D9C93CAAB3DF}">
      <x14:dataValidations xmlns:xm="http://schemas.microsoft.com/office/excel/2006/main" count="2">
        <x14:dataValidation type="list" showInputMessage="1" showErrorMessage="1" error="Select from dropdown list">
          <x14:formula1>
            <xm:f>Méthode!BI5:BI8</xm:f>
          </x14:formula1>
          <xm:sqref>E11</xm:sqref>
        </x14:dataValidation>
        <x14:dataValidation type="list" showInputMessage="1" showErrorMessage="1" error="Select from dropdown list">
          <x14:formula1>
            <xm:f>Méthode!BI20:BI21</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20"/>
  <sheetViews>
    <sheetView workbookViewId="0">
      <selection activeCell="E19" sqref="E19"/>
    </sheetView>
  </sheetViews>
  <sheetFormatPr defaultColWidth="9.140625" defaultRowHeight="15.75" x14ac:dyDescent="0.25"/>
  <cols>
    <col min="1" max="1" width="7.85546875" style="1" customWidth="1"/>
    <col min="2" max="2" width="16.7109375" style="1" customWidth="1"/>
    <col min="3" max="3" width="17.42578125" style="1" customWidth="1"/>
    <col min="4" max="4" width="16.140625" style="1" bestFit="1" customWidth="1"/>
    <col min="5" max="5" width="11.85546875" style="1" customWidth="1"/>
    <col min="6" max="6" width="18.28515625" style="1" customWidth="1"/>
    <col min="7" max="7" width="10.42578125" style="1" bestFit="1" customWidth="1"/>
    <col min="8" max="8" width="12.42578125" style="1" customWidth="1"/>
    <col min="9" max="9" width="7.28515625" style="1" bestFit="1" customWidth="1"/>
    <col min="10" max="10" width="10.7109375" style="1" customWidth="1"/>
    <col min="11" max="11" width="12.5703125" style="1" bestFit="1" customWidth="1"/>
    <col min="12" max="12" width="1.7109375" style="1" customWidth="1"/>
    <col min="13" max="13" width="15.28515625" style="1" bestFit="1" customWidth="1"/>
    <col min="14" max="14" width="8.140625" style="1" customWidth="1"/>
    <col min="15" max="15" width="8.42578125" style="1" customWidth="1"/>
    <col min="16" max="16" width="10.28515625" style="1" customWidth="1"/>
    <col min="17" max="17" width="7.140625" style="1" customWidth="1"/>
    <col min="18" max="18" width="6.5703125" style="1" customWidth="1"/>
    <col min="19" max="19" width="8" style="1" customWidth="1"/>
    <col min="20" max="20" width="7.140625" style="1" customWidth="1"/>
    <col min="21" max="21" width="1.7109375" style="1" customWidth="1"/>
    <col min="22" max="23" width="9.140625" style="1" customWidth="1"/>
    <col min="24" max="24" width="1.7109375" style="1" customWidth="1"/>
    <col min="25" max="27" width="9.140625" style="1" customWidth="1"/>
    <col min="28" max="28" width="7.140625" style="1" customWidth="1"/>
    <col min="29" max="29" width="11.85546875" style="1" customWidth="1"/>
    <col min="30" max="30" width="10.140625" style="1" customWidth="1"/>
    <col min="31" max="31" width="9.7109375" style="1" customWidth="1"/>
    <col min="32" max="32" width="12.7109375" style="1" customWidth="1"/>
    <col min="33" max="33" width="8.7109375" style="1" customWidth="1"/>
    <col min="34" max="34" width="8.5703125" style="1" customWidth="1"/>
    <col min="35" max="36" width="9.140625" style="1" customWidth="1"/>
    <col min="37" max="37" width="3.7109375" style="1" customWidth="1"/>
    <col min="38" max="38" width="9.140625" style="1" customWidth="1"/>
    <col min="39" max="39" width="6.85546875" style="1" customWidth="1"/>
    <col min="40" max="40" width="7.5703125" style="1" customWidth="1"/>
    <col min="41" max="41" width="10" style="1" customWidth="1"/>
    <col min="42" max="43" width="7.140625" style="1" customWidth="1"/>
    <col min="44" max="45" width="7.5703125" style="1" customWidth="1"/>
    <col min="46" max="47" width="7.140625" style="1" customWidth="1"/>
    <col min="48" max="48" width="3.7109375" style="1" customWidth="1"/>
    <col min="49" max="49" width="5" style="1" customWidth="1"/>
    <col min="50" max="50" width="14.5703125" style="1" bestFit="1" customWidth="1"/>
    <col min="51" max="51" width="9.140625" style="1" customWidth="1"/>
    <col min="52" max="52" width="1.42578125" style="1" customWidth="1"/>
    <col min="53" max="53" width="12.42578125" style="1" customWidth="1"/>
    <col min="54" max="54" width="9.140625" style="1" customWidth="1"/>
    <col min="55" max="55" width="1.5703125" style="1" customWidth="1"/>
    <col min="56" max="56" width="9.140625" style="65" customWidth="1"/>
    <col min="57" max="57" width="9.140625" style="1" customWidth="1"/>
    <col min="58" max="59" width="3.7109375" style="1" customWidth="1"/>
    <col min="60" max="60" width="9.140625" style="1"/>
    <col min="61" max="61" width="17.7109375" style="1" bestFit="1" customWidth="1"/>
    <col min="62" max="62" width="11.42578125" style="1" customWidth="1"/>
    <col min="63" max="16384" width="9.140625" style="1"/>
  </cols>
  <sheetData>
    <row r="1" spans="1:62" ht="18.75" customHeight="1" x14ac:dyDescent="0.3">
      <c r="D1" s="136"/>
      <c r="E1" s="136"/>
      <c r="N1" s="59" t="s">
        <v>91</v>
      </c>
      <c r="AC1" s="59" t="s">
        <v>94</v>
      </c>
      <c r="AL1" s="59" t="s">
        <v>112</v>
      </c>
      <c r="AW1" s="59" t="s">
        <v>56</v>
      </c>
      <c r="AX1" s="64"/>
      <c r="AY1" s="64"/>
      <c r="AZ1" s="64"/>
      <c r="BA1" s="64"/>
      <c r="BB1" s="64"/>
      <c r="BE1" s="64"/>
      <c r="BF1" s="64"/>
    </row>
    <row r="2" spans="1:62" ht="18.75" customHeight="1" x14ac:dyDescent="0.25">
      <c r="AX2" s="64"/>
      <c r="AY2" s="64"/>
      <c r="BA2" s="64"/>
      <c r="BB2" s="64"/>
      <c r="BC2" s="64"/>
      <c r="BD2" s="1"/>
    </row>
    <row r="3" spans="1:62" ht="18.75" customHeight="1" x14ac:dyDescent="0.3">
      <c r="AC3" s="36" t="s">
        <v>95</v>
      </c>
      <c r="AD3" s="36" t="s">
        <v>96</v>
      </c>
      <c r="AE3" s="36" t="s">
        <v>38</v>
      </c>
      <c r="AF3" s="36" t="s">
        <v>39</v>
      </c>
      <c r="AW3" s="31"/>
      <c r="AX3" s="31" t="s">
        <v>14</v>
      </c>
      <c r="AY3" s="31"/>
      <c r="AZ3" s="31"/>
      <c r="BA3" s="31" t="s">
        <v>54</v>
      </c>
      <c r="BB3" s="31"/>
      <c r="BC3" s="31"/>
      <c r="BD3" s="31" t="s">
        <v>119</v>
      </c>
      <c r="BE3" s="31"/>
    </row>
    <row r="4" spans="1:62" ht="18.75" customHeight="1" thickBot="1" x14ac:dyDescent="0.35">
      <c r="A4" s="24"/>
      <c r="B4" s="137" t="s">
        <v>79</v>
      </c>
      <c r="C4" s="135"/>
      <c r="D4" s="135"/>
      <c r="E4" s="138"/>
      <c r="F4" s="135" t="s">
        <v>80</v>
      </c>
      <c r="G4" s="135"/>
      <c r="H4" s="138"/>
      <c r="I4" s="2"/>
      <c r="J4" s="2"/>
      <c r="K4" s="2"/>
      <c r="L4" s="2"/>
      <c r="N4" s="31" t="s">
        <v>20</v>
      </c>
      <c r="O4" s="31"/>
      <c r="P4" s="31"/>
      <c r="Q4" s="31"/>
      <c r="R4" s="31"/>
      <c r="S4" s="31"/>
      <c r="T4" s="31"/>
      <c r="U4" s="31"/>
      <c r="V4" s="135" t="s">
        <v>135</v>
      </c>
      <c r="W4" s="135"/>
      <c r="X4" s="31"/>
      <c r="Y4" s="135" t="s">
        <v>136</v>
      </c>
      <c r="Z4" s="135"/>
      <c r="AA4" s="60"/>
      <c r="AC4" s="28" t="s">
        <v>62</v>
      </c>
      <c r="AD4" s="34">
        <f>AVERAGE(AE4:AF4)</f>
        <v>0.95799490132455944</v>
      </c>
      <c r="AE4" s="34">
        <f>AR14</f>
        <v>0.95749948403306373</v>
      </c>
      <c r="AF4" s="34">
        <f>AS$37</f>
        <v>0.95849031861605505</v>
      </c>
      <c r="AL4" s="41" t="s">
        <v>113</v>
      </c>
      <c r="AM4" s="41"/>
      <c r="AN4" s="132" t="str">
        <f>Introduction!$E$11</f>
        <v>Age à l'enquête (données de 12 mois)</v>
      </c>
      <c r="AO4" s="132"/>
      <c r="AP4" s="132"/>
      <c r="AQ4" s="132"/>
      <c r="AR4" s="132"/>
      <c r="AS4" s="132"/>
      <c r="AT4" s="132"/>
      <c r="AU4" s="47"/>
      <c r="AW4" s="30" t="s">
        <v>55</v>
      </c>
      <c r="AX4" s="30" t="s">
        <v>118</v>
      </c>
      <c r="AY4" s="30"/>
      <c r="AZ4" s="30"/>
      <c r="BA4" s="30" t="s">
        <v>118</v>
      </c>
      <c r="BB4" s="30"/>
      <c r="BC4" s="30"/>
      <c r="BD4" s="30" t="s">
        <v>118</v>
      </c>
      <c r="BE4" s="30"/>
    </row>
    <row r="5" spans="1:62" ht="18.75" customHeight="1" thickBot="1" x14ac:dyDescent="0.35">
      <c r="A5" s="24"/>
      <c r="B5" s="25"/>
      <c r="C5" s="66"/>
      <c r="D5" s="67" t="s">
        <v>84</v>
      </c>
      <c r="E5" s="26"/>
      <c r="F5" s="67" t="s">
        <v>85</v>
      </c>
      <c r="G5" s="66"/>
      <c r="H5" s="26"/>
      <c r="I5" s="2"/>
      <c r="N5" s="30" t="s">
        <v>33</v>
      </c>
      <c r="O5" s="30" t="s">
        <v>7</v>
      </c>
      <c r="P5" s="30" t="s">
        <v>8</v>
      </c>
      <c r="Q5" s="30" t="s">
        <v>9</v>
      </c>
      <c r="R5" s="30" t="s">
        <v>10</v>
      </c>
      <c r="S5" s="30" t="s">
        <v>11</v>
      </c>
      <c r="T5" s="30" t="s">
        <v>12</v>
      </c>
      <c r="U5" s="30"/>
      <c r="V5" s="30" t="s">
        <v>18</v>
      </c>
      <c r="W5" s="30" t="s">
        <v>19</v>
      </c>
      <c r="X5" s="30"/>
      <c r="Y5" s="30" t="s">
        <v>30</v>
      </c>
      <c r="Z5" s="30" t="s">
        <v>31</v>
      </c>
      <c r="AA5" s="30" t="s">
        <v>63</v>
      </c>
      <c r="AC5" s="28" t="s">
        <v>53</v>
      </c>
      <c r="AD5" s="34">
        <f>AVERAGE(AE5:AF5)</f>
        <v>0.95793801893571162</v>
      </c>
      <c r="AE5" s="34">
        <f>AR25</f>
        <v>0.95738571925536819</v>
      </c>
      <c r="AF5" s="34">
        <f>AS$37</f>
        <v>0.95849031861605505</v>
      </c>
      <c r="AL5" s="42" t="s">
        <v>21</v>
      </c>
      <c r="AM5" s="42" t="s">
        <v>22</v>
      </c>
      <c r="AN5" s="42" t="s">
        <v>14</v>
      </c>
      <c r="AO5" s="42" t="s">
        <v>42</v>
      </c>
      <c r="AP5" s="42" t="s">
        <v>43</v>
      </c>
      <c r="AQ5" s="42" t="s">
        <v>44</v>
      </c>
      <c r="AR5" s="42" t="s">
        <v>45</v>
      </c>
      <c r="AS5" s="42" t="s">
        <v>10</v>
      </c>
      <c r="AT5" s="42" t="s">
        <v>12</v>
      </c>
      <c r="AU5" s="47"/>
      <c r="AW5" s="28">
        <v>10</v>
      </c>
      <c r="AX5" s="34">
        <v>-100000</v>
      </c>
      <c r="AY5" s="34"/>
      <c r="AZ5" s="34"/>
      <c r="BA5" s="34"/>
      <c r="BB5" s="34"/>
      <c r="BC5" s="34"/>
      <c r="BD5" s="34"/>
      <c r="BE5" s="3"/>
      <c r="BI5" s="111" t="s">
        <v>120</v>
      </c>
      <c r="BJ5" s="112">
        <f>MATCH(Introduction!$E$11,BI5:BI8,0)</f>
        <v>2</v>
      </c>
    </row>
    <row r="6" spans="1:62" ht="18.75" customHeight="1" thickBot="1" x14ac:dyDescent="0.35">
      <c r="A6" s="68" t="s">
        <v>51</v>
      </c>
      <c r="B6" s="69" t="s">
        <v>81</v>
      </c>
      <c r="C6" s="70" t="s">
        <v>82</v>
      </c>
      <c r="D6" s="70" t="s">
        <v>83</v>
      </c>
      <c r="E6" s="70" t="s">
        <v>82</v>
      </c>
      <c r="F6" s="69" t="s">
        <v>86</v>
      </c>
      <c r="G6" s="70" t="s">
        <v>87</v>
      </c>
      <c r="H6" s="71" t="s">
        <v>88</v>
      </c>
      <c r="I6" s="4"/>
      <c r="N6" s="28">
        <f t="shared" ref="N6:N13" si="0">AL6</f>
        <v>14.5</v>
      </c>
      <c r="O6" s="34">
        <f>5*SUM(D7:D$7)</f>
        <v>0</v>
      </c>
      <c r="P6" s="34">
        <f t="shared" ref="P6:P12" si="1">O6/O7</f>
        <v>0</v>
      </c>
      <c r="Q6" s="34" t="e">
        <f>IF(P6&lt;&gt;0,-LN(-LN(P6)),NA())</f>
        <v>#N/A</v>
      </c>
      <c r="R6" s="34">
        <f t="shared" ref="R6:R12" si="2">AS6</f>
        <v>0.93641822539077313</v>
      </c>
      <c r="S6" s="34" t="e">
        <f t="shared" ref="S6:S12" si="3">Q6-R6</f>
        <v>#N/A</v>
      </c>
      <c r="T6" s="34">
        <f t="shared" ref="T6:T13" si="4">AT6</f>
        <v>-2.4384841453180206</v>
      </c>
      <c r="U6" s="34"/>
      <c r="V6" s="34" t="e">
        <f t="shared" ref="V6:V12" si="5">IF(AND($E8=1,$E7=1),S6,NA())</f>
        <v>#N/A</v>
      </c>
      <c r="W6" s="34" t="e">
        <f t="shared" ref="W6:W13" si="6">IF(ISNA(V6),NA(),T6)</f>
        <v>#N/A</v>
      </c>
      <c r="X6" s="34"/>
      <c r="Y6" s="34">
        <f t="shared" ref="Y6:Y12" si="7">IF(ISNA(V6),0,V6)</f>
        <v>0</v>
      </c>
      <c r="Z6" s="34">
        <f t="shared" ref="Z6:Z13" si="8">IF(ISNA(V6),0,W6)</f>
        <v>0</v>
      </c>
      <c r="AA6" s="34">
        <f t="shared" ref="AA6:AA13" si="9">IF(ISNA(V6),0,(($AH$17+$AH$16*W6)-V6)^2)</f>
        <v>0</v>
      </c>
      <c r="AL6" s="43">
        <f t="shared" ref="AL6:AM13" si="10">IF($BJ$5=1,AL43,IF($BJ$5=2,AN43,IF($BJ$5=3,AP43,AR43)))</f>
        <v>14.5</v>
      </c>
      <c r="AM6" s="38">
        <f t="shared" si="10"/>
        <v>1.2783714883985553E-3</v>
      </c>
      <c r="AN6" s="39">
        <f t="shared" ref="AN6:AN13" si="11">-LN(-LN(AM6))</f>
        <v>-1.8964449999999999</v>
      </c>
      <c r="AO6" s="39">
        <f t="shared" ref="AO6:AO13" si="12">AM6/AM7</f>
        <v>1.1209905726891513E-2</v>
      </c>
      <c r="AP6" s="39">
        <f t="shared" ref="AP6:AP13" si="13">-LN(-LN(AO6))</f>
        <v>-1.5020659199272475</v>
      </c>
      <c r="AQ6" s="39">
        <f t="shared" ref="AQ6:AQ12" si="14">(EXP(AN6)*AN7-AN6*EXP(AN7))/(EXP(AN6)-EXP(AN7))</f>
        <v>-2.4384841453180206</v>
      </c>
      <c r="AR6" s="39"/>
      <c r="AS6" s="39">
        <f t="shared" ref="AS6:AS12" si="15">AP6-AQ6</f>
        <v>0.93641822539077313</v>
      </c>
      <c r="AT6" s="39">
        <f t="shared" ref="AT6:AT13" si="16">AQ6</f>
        <v>-2.4384841453180206</v>
      </c>
      <c r="AU6" s="47"/>
      <c r="AW6" s="28">
        <v>10.5</v>
      </c>
      <c r="AX6" s="34">
        <v>-50001.585455</v>
      </c>
      <c r="AY6" s="34"/>
      <c r="AZ6" s="34"/>
      <c r="BA6" s="34"/>
      <c r="BB6" s="34"/>
      <c r="BC6" s="34"/>
      <c r="BD6" s="34"/>
      <c r="BE6" s="3"/>
      <c r="BI6" s="113" t="s">
        <v>121</v>
      </c>
      <c r="BJ6" s="114"/>
    </row>
    <row r="7" spans="1:62" ht="18.75" customHeight="1" thickTop="1" x14ac:dyDescent="0.3">
      <c r="A7" s="72" t="s">
        <v>17</v>
      </c>
      <c r="B7" s="123"/>
      <c r="C7" s="124"/>
      <c r="D7" s="107"/>
      <c r="E7" s="124"/>
      <c r="F7" s="73">
        <f t="shared" ref="F7:F14" si="17">AH34</f>
        <v>3.9170402677671219E-3</v>
      </c>
      <c r="G7" s="74">
        <f t="shared" ref="G7:G14" si="18">AG45</f>
        <v>2.3658171466985406E-3</v>
      </c>
      <c r="H7" s="75"/>
      <c r="I7" s="4"/>
      <c r="J7" s="76" t="s">
        <v>36</v>
      </c>
      <c r="K7" s="77">
        <f>AH18</f>
        <v>-5.445716669189643E-2</v>
      </c>
      <c r="L7" s="2"/>
      <c r="M7" s="78" t="str">
        <f>IF(ABS(K7)&gt;0.3,"caution!","ok")</f>
        <v>ok</v>
      </c>
      <c r="N7" s="28">
        <f t="shared" si="0"/>
        <v>19.5</v>
      </c>
      <c r="O7" s="34">
        <f>5*SUM(D$7:D8)</f>
        <v>0.55500000000000005</v>
      </c>
      <c r="P7" s="34">
        <f t="shared" si="1"/>
        <v>0.3117977528089888</v>
      </c>
      <c r="Q7" s="34">
        <f t="shared" ref="Q7:Q13" si="19">IF(P7&lt;&gt;0,-LN(-LN(P7)),NA())</f>
        <v>-0.15306483011123334</v>
      </c>
      <c r="R7" s="34">
        <f t="shared" si="2"/>
        <v>1.3311488086561782</v>
      </c>
      <c r="S7" s="34">
        <f t="shared" si="3"/>
        <v>-1.4842136387674116</v>
      </c>
      <c r="T7" s="34">
        <f t="shared" si="4"/>
        <v>-1.4527111363647451</v>
      </c>
      <c r="U7" s="34"/>
      <c r="V7" s="34">
        <f t="shared" si="5"/>
        <v>-1.4842136387674116</v>
      </c>
      <c r="W7" s="34">
        <f t="shared" si="6"/>
        <v>-1.4527111363647451</v>
      </c>
      <c r="X7" s="34"/>
      <c r="Y7" s="34">
        <f t="shared" si="7"/>
        <v>-1.4842136387674116</v>
      </c>
      <c r="Z7" s="34">
        <f t="shared" si="8"/>
        <v>-1.4527111363647451</v>
      </c>
      <c r="AA7" s="34">
        <f t="shared" si="9"/>
        <v>6.8559676158847741E-4</v>
      </c>
      <c r="AC7" s="36" t="s">
        <v>97</v>
      </c>
      <c r="AD7" s="36" t="s">
        <v>96</v>
      </c>
      <c r="AE7" s="36" t="s">
        <v>38</v>
      </c>
      <c r="AF7" s="36" t="s">
        <v>39</v>
      </c>
      <c r="AL7" s="43">
        <f t="shared" si="10"/>
        <v>19.5</v>
      </c>
      <c r="AM7" s="38">
        <f t="shared" si="10"/>
        <v>0.1140394504239105</v>
      </c>
      <c r="AN7" s="39">
        <f t="shared" si="11"/>
        <v>-0.77528500000000011</v>
      </c>
      <c r="AO7" s="39">
        <f t="shared" si="12"/>
        <v>0.32327247099594575</v>
      </c>
      <c r="AP7" s="39">
        <f t="shared" si="13"/>
        <v>-0.12156232770856687</v>
      </c>
      <c r="AQ7" s="39">
        <f t="shared" si="14"/>
        <v>-1.4527111363647451</v>
      </c>
      <c r="AR7" s="39">
        <f>((AN7-AN8)^2*EXP(AN7+AN8))/(EXP(AN7)-EXP(AN8))^2</f>
        <v>0.95626566528769807</v>
      </c>
      <c r="AS7" s="39">
        <f t="shared" si="15"/>
        <v>1.3311488086561782</v>
      </c>
      <c r="AT7" s="39">
        <f t="shared" si="16"/>
        <v>-1.4527111363647451</v>
      </c>
      <c r="AU7" s="47"/>
      <c r="AW7" s="28">
        <v>11</v>
      </c>
      <c r="AX7" s="34">
        <v>-3.1709100000000001</v>
      </c>
      <c r="AY7" s="34"/>
      <c r="AZ7" s="34"/>
      <c r="BA7" s="34">
        <f t="shared" ref="BA7:BA38" si="20">EXP(-EXP(-AX7))</f>
        <v>4.4784499589925825E-11</v>
      </c>
      <c r="BB7" s="34"/>
      <c r="BC7" s="34"/>
      <c r="BD7" s="34"/>
      <c r="BE7" s="3"/>
      <c r="BI7" s="113" t="s">
        <v>122</v>
      </c>
      <c r="BJ7" s="114"/>
    </row>
    <row r="8" spans="1:62" ht="18.75" customHeight="1" x14ac:dyDescent="0.3">
      <c r="A8" s="72" t="s">
        <v>0</v>
      </c>
      <c r="B8" s="105">
        <v>0.28299999999999997</v>
      </c>
      <c r="C8" s="106">
        <v>1</v>
      </c>
      <c r="D8" s="107">
        <v>0.111</v>
      </c>
      <c r="E8" s="106">
        <v>1</v>
      </c>
      <c r="F8" s="73">
        <f t="shared" si="17"/>
        <v>0.15183199330617073</v>
      </c>
      <c r="G8" s="74">
        <f t="shared" si="18"/>
        <v>0.30182946407840344</v>
      </c>
      <c r="H8" s="75"/>
      <c r="I8" s="4"/>
      <c r="J8" s="79" t="s">
        <v>37</v>
      </c>
      <c r="K8" s="80">
        <f>AH16</f>
        <v>0.96654365011363819</v>
      </c>
      <c r="L8" s="4"/>
      <c r="M8" s="78" t="str">
        <f>IF(OR(K8&lt;0.8,K8&gt;1.25),"caution!","ok")</f>
        <v>ok</v>
      </c>
      <c r="N8" s="28">
        <f t="shared" si="0"/>
        <v>24.5</v>
      </c>
      <c r="O8" s="34">
        <f>5*SUM(D$7:D9)</f>
        <v>1.7799999999999998</v>
      </c>
      <c r="P8" s="34">
        <f t="shared" si="1"/>
        <v>0.60750853242320824</v>
      </c>
      <c r="Q8" s="34">
        <f t="shared" si="19"/>
        <v>0.69637426454885254</v>
      </c>
      <c r="R8" s="34">
        <f t="shared" si="2"/>
        <v>1.4166765397832535</v>
      </c>
      <c r="S8" s="34">
        <f t="shared" si="3"/>
        <v>-0.72030227523440093</v>
      </c>
      <c r="T8" s="34">
        <f t="shared" si="4"/>
        <v>-0.74260265424673</v>
      </c>
      <c r="U8" s="34"/>
      <c r="V8" s="34">
        <f t="shared" si="5"/>
        <v>-0.72030227523440093</v>
      </c>
      <c r="W8" s="34">
        <f t="shared" si="6"/>
        <v>-0.74260265424673</v>
      </c>
      <c r="X8" s="34"/>
      <c r="Y8" s="34">
        <f t="shared" si="7"/>
        <v>-0.72030227523440093</v>
      </c>
      <c r="Z8" s="34">
        <f t="shared" si="8"/>
        <v>-0.74260265424673</v>
      </c>
      <c r="AA8" s="34">
        <f t="shared" si="9"/>
        <v>2.6395567261931589E-3</v>
      </c>
      <c r="AC8" s="28" t="s">
        <v>41</v>
      </c>
      <c r="AD8" s="37">
        <f>AE8+AF8</f>
        <v>10</v>
      </c>
      <c r="AE8" s="37">
        <f>COUNTIF($Y$6:$Y$13,"&lt;&gt;0")</f>
        <v>5</v>
      </c>
      <c r="AF8" s="37">
        <f>COUNTIF($Y$18:$Y$25,"&lt;&gt;0")</f>
        <v>5</v>
      </c>
      <c r="AG8" s="34"/>
      <c r="AH8" s="34"/>
      <c r="AL8" s="43">
        <f t="shared" si="10"/>
        <v>24.5</v>
      </c>
      <c r="AM8" s="38">
        <f t="shared" si="10"/>
        <v>0.35276573372478942</v>
      </c>
      <c r="AN8" s="39">
        <f t="shared" si="11"/>
        <v>-4.1095000000000055E-2</v>
      </c>
      <c r="AO8" s="39">
        <f t="shared" si="12"/>
        <v>0.60071889890621866</v>
      </c>
      <c r="AP8" s="39">
        <f t="shared" si="13"/>
        <v>0.67407388553652337</v>
      </c>
      <c r="AQ8" s="39">
        <f t="shared" si="14"/>
        <v>-0.74260265424673</v>
      </c>
      <c r="AR8" s="39">
        <f>((AN8-AN9)^2*EXP(AN8+AN9))/(EXP(AN8)-EXP(AN9))^2</f>
        <v>0.96324552955885356</v>
      </c>
      <c r="AS8" s="39">
        <f t="shared" si="15"/>
        <v>1.4166765397832535</v>
      </c>
      <c r="AT8" s="39">
        <f t="shared" si="16"/>
        <v>-0.74260265424673</v>
      </c>
      <c r="AU8" s="47"/>
      <c r="AW8" s="28">
        <v>11.5</v>
      </c>
      <c r="AX8" s="34">
        <v>-2.9567300000000003</v>
      </c>
      <c r="AY8" s="34"/>
      <c r="AZ8" s="34"/>
      <c r="BA8" s="34">
        <f t="shared" si="20"/>
        <v>4.4295384258252304E-9</v>
      </c>
      <c r="BB8" s="34"/>
      <c r="BC8" s="34"/>
      <c r="BD8" s="34"/>
      <c r="BE8" s="3"/>
      <c r="BI8" s="115" t="s">
        <v>123</v>
      </c>
      <c r="BJ8" s="116"/>
    </row>
    <row r="9" spans="1:62" ht="18.75" customHeight="1" x14ac:dyDescent="0.3">
      <c r="A9" s="72" t="s">
        <v>1</v>
      </c>
      <c r="B9" s="105">
        <v>1.532</v>
      </c>
      <c r="C9" s="106">
        <v>1</v>
      </c>
      <c r="D9" s="107">
        <v>0.245</v>
      </c>
      <c r="E9" s="106">
        <v>1</v>
      </c>
      <c r="F9" s="73">
        <f t="shared" si="17"/>
        <v>0.28039270021127055</v>
      </c>
      <c r="G9" s="74">
        <f t="shared" si="18"/>
        <v>1.4646076896742959</v>
      </c>
      <c r="H9" s="75">
        <f t="shared" ref="H9:H14" si="21">AG59</f>
        <v>1.1903952347858111</v>
      </c>
      <c r="I9" s="4"/>
      <c r="J9" s="79" t="s">
        <v>134</v>
      </c>
      <c r="K9" s="81">
        <f>IF($BJ$19=2,AI30,AI53)</f>
        <v>6.1090396204614512</v>
      </c>
      <c r="L9" s="4"/>
      <c r="N9" s="28">
        <f t="shared" si="0"/>
        <v>29.5</v>
      </c>
      <c r="O9" s="34">
        <f>5*SUM(D$7:D10)</f>
        <v>2.9299999999999997</v>
      </c>
      <c r="P9" s="34">
        <f t="shared" si="1"/>
        <v>0.75032010243277858</v>
      </c>
      <c r="Q9" s="34">
        <f t="shared" si="19"/>
        <v>1.2473837018088474</v>
      </c>
      <c r="R9" s="34">
        <f t="shared" si="2"/>
        <v>1.295668848188934</v>
      </c>
      <c r="S9" s="34">
        <f t="shared" si="3"/>
        <v>-4.828514638008663E-2</v>
      </c>
      <c r="T9" s="34">
        <f t="shared" si="4"/>
        <v>-3.6423874753142363E-2</v>
      </c>
      <c r="U9" s="34"/>
      <c r="V9" s="34">
        <f t="shared" si="5"/>
        <v>-4.828514638008663E-2</v>
      </c>
      <c r="W9" s="34">
        <f t="shared" si="6"/>
        <v>-3.6423874753142363E-2</v>
      </c>
      <c r="X9" s="34"/>
      <c r="Y9" s="34">
        <f t="shared" si="7"/>
        <v>-4.828514638008663E-2</v>
      </c>
      <c r="Z9" s="34">
        <f t="shared" si="8"/>
        <v>-3.6423874753142363E-2</v>
      </c>
      <c r="AA9" s="34">
        <f t="shared" si="9"/>
        <v>1.6679979177270619E-3</v>
      </c>
      <c r="AC9" s="28"/>
      <c r="AD9" s="34"/>
      <c r="AE9" s="34"/>
      <c r="AF9" s="34"/>
      <c r="AG9" s="34"/>
      <c r="AH9" s="34"/>
      <c r="AL9" s="43">
        <f t="shared" si="10"/>
        <v>29.5</v>
      </c>
      <c r="AM9" s="38">
        <f t="shared" si="10"/>
        <v>0.58723928008108417</v>
      </c>
      <c r="AN9" s="39">
        <f t="shared" si="11"/>
        <v>0.63050499999999998</v>
      </c>
      <c r="AO9" s="39">
        <f t="shared" si="12"/>
        <v>0.75286581040544553</v>
      </c>
      <c r="AP9" s="39">
        <f t="shared" si="13"/>
        <v>1.2592449734357916</v>
      </c>
      <c r="AQ9" s="39">
        <f t="shared" si="14"/>
        <v>-3.6423874753142363E-2</v>
      </c>
      <c r="AR9" s="39">
        <f>((AN9-AN10)^2*EXP(AN9+AN10))/(EXP(AN9)-EXP(AN10))^2</f>
        <v>0.95298725725263955</v>
      </c>
      <c r="AS9" s="39">
        <f t="shared" si="15"/>
        <v>1.295668848188934</v>
      </c>
      <c r="AT9" s="39">
        <f t="shared" si="16"/>
        <v>-3.6423874753142363E-2</v>
      </c>
      <c r="AU9" s="47"/>
      <c r="AW9" s="28">
        <v>12</v>
      </c>
      <c r="AX9" s="34">
        <v>-2.74255</v>
      </c>
      <c r="AY9" s="34"/>
      <c r="AZ9" s="34"/>
      <c r="BA9" s="34">
        <f t="shared" si="20"/>
        <v>1.8068199163533548E-7</v>
      </c>
      <c r="BB9" s="34"/>
      <c r="BC9" s="34"/>
      <c r="BD9" s="34"/>
      <c r="BE9" s="3"/>
      <c r="BI9" s="117"/>
      <c r="BJ9" s="118"/>
    </row>
    <row r="10" spans="1:62" ht="18.75" customHeight="1" x14ac:dyDescent="0.3">
      <c r="A10" s="72" t="s">
        <v>2</v>
      </c>
      <c r="B10" s="105">
        <v>2.8490000000000002</v>
      </c>
      <c r="C10" s="106">
        <v>1</v>
      </c>
      <c r="D10" s="107">
        <v>0.23</v>
      </c>
      <c r="E10" s="106">
        <v>1</v>
      </c>
      <c r="F10" s="73">
        <f t="shared" si="17"/>
        <v>0.27814435115886321</v>
      </c>
      <c r="G10" s="74">
        <f t="shared" si="18"/>
        <v>2.8859995089236352</v>
      </c>
      <c r="H10" s="75">
        <f t="shared" si="21"/>
        <v>1.1233452110074071</v>
      </c>
      <c r="I10" s="4"/>
      <c r="J10" s="82" t="s">
        <v>89</v>
      </c>
      <c r="K10" s="83">
        <f>AA26</f>
        <v>8.1502800335738798E-2</v>
      </c>
      <c r="L10" s="4"/>
      <c r="N10" s="28">
        <f t="shared" si="0"/>
        <v>34.5</v>
      </c>
      <c r="O10" s="34">
        <f>5*SUM(D$7:D11)</f>
        <v>3.9049999999999994</v>
      </c>
      <c r="P10" s="34">
        <f t="shared" si="1"/>
        <v>0.84159482758620685</v>
      </c>
      <c r="Q10" s="34">
        <f t="shared" si="19"/>
        <v>1.7576097672544206</v>
      </c>
      <c r="R10" s="34">
        <f t="shared" si="2"/>
        <v>0.96150591279315123</v>
      </c>
      <c r="S10" s="34">
        <f t="shared" si="3"/>
        <v>0.79610385446126941</v>
      </c>
      <c r="T10" s="34">
        <f t="shared" si="4"/>
        <v>0.84054780591080702</v>
      </c>
      <c r="U10" s="34"/>
      <c r="V10" s="34">
        <f t="shared" si="5"/>
        <v>0.79610385446126941</v>
      </c>
      <c r="W10" s="34">
        <f t="shared" si="6"/>
        <v>0.84054780591080702</v>
      </c>
      <c r="X10" s="34"/>
      <c r="Y10" s="34">
        <f t="shared" si="7"/>
        <v>0.79610385446126941</v>
      </c>
      <c r="Z10" s="34">
        <f t="shared" si="8"/>
        <v>0.84054780591080702</v>
      </c>
      <c r="AA10" s="34">
        <f t="shared" si="9"/>
        <v>1.4136638800245494E-3</v>
      </c>
      <c r="AC10" s="28" t="s">
        <v>98</v>
      </c>
      <c r="AD10" s="34">
        <f>AE10+AF10</f>
        <v>-0.87931673386705267</v>
      </c>
      <c r="AE10" s="34">
        <f>SUM(Y6:Y13)</f>
        <v>0.69633608390139834</v>
      </c>
      <c r="AF10" s="34">
        <f>SUM(Y18:Y25)</f>
        <v>-1.575652817768451</v>
      </c>
      <c r="AG10" s="34"/>
      <c r="AH10" s="34"/>
      <c r="AL10" s="43">
        <f t="shared" si="10"/>
        <v>34.5</v>
      </c>
      <c r="AM10" s="38">
        <f t="shared" si="10"/>
        <v>0.78000524391569137</v>
      </c>
      <c r="AN10" s="39">
        <f t="shared" si="11"/>
        <v>1.3924950000000003</v>
      </c>
      <c r="AO10" s="39">
        <f t="shared" si="12"/>
        <v>0.84792782472919082</v>
      </c>
      <c r="AP10" s="39">
        <f t="shared" si="13"/>
        <v>1.8020537187039583</v>
      </c>
      <c r="AQ10" s="39">
        <f t="shared" si="14"/>
        <v>0.84054780591080702</v>
      </c>
      <c r="AR10" s="39"/>
      <c r="AS10" s="39">
        <f t="shared" si="15"/>
        <v>0.96150591279315123</v>
      </c>
      <c r="AT10" s="39">
        <f t="shared" si="16"/>
        <v>0.84054780591080702</v>
      </c>
      <c r="AU10" s="47"/>
      <c r="AW10" s="28">
        <v>12.5</v>
      </c>
      <c r="AX10" s="34">
        <v>-2.555545</v>
      </c>
      <c r="AY10" s="34"/>
      <c r="AZ10" s="34"/>
      <c r="BA10" s="34">
        <f t="shared" si="20"/>
        <v>2.5528085116893268E-6</v>
      </c>
      <c r="BB10" s="34"/>
      <c r="BC10" s="34"/>
      <c r="BD10" s="34"/>
      <c r="BE10" s="3"/>
      <c r="BI10" s="119" t="s">
        <v>17</v>
      </c>
      <c r="BJ10" s="117">
        <v>12.5</v>
      </c>
    </row>
    <row r="11" spans="1:62" ht="18.75" customHeight="1" x14ac:dyDescent="0.3">
      <c r="A11" s="72" t="s">
        <v>3</v>
      </c>
      <c r="B11" s="105">
        <v>4.1849999999999996</v>
      </c>
      <c r="C11" s="106">
        <v>1</v>
      </c>
      <c r="D11" s="107">
        <v>0.19500000000000001</v>
      </c>
      <c r="E11" s="106">
        <v>1</v>
      </c>
      <c r="F11" s="73">
        <f t="shared" si="17"/>
        <v>0.23451039074155541</v>
      </c>
      <c r="G11" s="74">
        <f t="shared" si="18"/>
        <v>4.1784866936566782</v>
      </c>
      <c r="H11" s="75">
        <f t="shared" si="21"/>
        <v>1.1508733453371986</v>
      </c>
      <c r="I11" s="4"/>
      <c r="J11" s="4"/>
      <c r="K11" s="4"/>
      <c r="L11" s="4"/>
      <c r="N11" s="28">
        <f t="shared" si="0"/>
        <v>39.5</v>
      </c>
      <c r="O11" s="34">
        <f>5*SUM(D$7:D12)</f>
        <v>4.6399999999999997</v>
      </c>
      <c r="P11" s="34">
        <f t="shared" si="1"/>
        <v>0.92800000000000005</v>
      </c>
      <c r="Q11" s="34">
        <f t="shared" si="19"/>
        <v>2.5939600263920073</v>
      </c>
      <c r="R11" s="34">
        <f t="shared" si="2"/>
        <v>0.44092673656997894</v>
      </c>
      <c r="S11" s="34">
        <f t="shared" si="3"/>
        <v>2.1530332898220284</v>
      </c>
      <c r="T11" s="34">
        <f t="shared" si="4"/>
        <v>2.179944634001882</v>
      </c>
      <c r="U11" s="34"/>
      <c r="V11" s="34">
        <f t="shared" si="5"/>
        <v>2.1530332898220284</v>
      </c>
      <c r="W11" s="34">
        <f t="shared" si="6"/>
        <v>2.179944634001882</v>
      </c>
      <c r="X11" s="34"/>
      <c r="Y11" s="34">
        <f t="shared" si="7"/>
        <v>2.1530332898220284</v>
      </c>
      <c r="Z11" s="34">
        <f t="shared" si="8"/>
        <v>2.179944634001882</v>
      </c>
      <c r="AA11" s="34">
        <f t="shared" si="9"/>
        <v>9.9885348829265273E-3</v>
      </c>
      <c r="AC11" s="28" t="s">
        <v>99</v>
      </c>
      <c r="AD11" s="34">
        <f>AE11+AF11</f>
        <v>-0.35187921038872849</v>
      </c>
      <c r="AE11" s="34">
        <f>SUM(Z6:Z13)</f>
        <v>0.78875477454807141</v>
      </c>
      <c r="AF11" s="34">
        <f>SUM(Z18:Z25)</f>
        <v>-1.1406339849367999</v>
      </c>
      <c r="AG11" s="34"/>
      <c r="AH11" s="34"/>
      <c r="AL11" s="43">
        <f t="shared" si="10"/>
        <v>39.5</v>
      </c>
      <c r="AM11" s="38">
        <f t="shared" si="10"/>
        <v>0.91989579910861818</v>
      </c>
      <c r="AN11" s="39">
        <f t="shared" si="11"/>
        <v>2.4829699999999999</v>
      </c>
      <c r="AO11" s="39">
        <f t="shared" si="12"/>
        <v>0.92984306704544728</v>
      </c>
      <c r="AP11" s="39">
        <f t="shared" si="13"/>
        <v>2.6208713705718609</v>
      </c>
      <c r="AQ11" s="39">
        <f t="shared" si="14"/>
        <v>2.179944634001882</v>
      </c>
      <c r="AR11" s="39"/>
      <c r="AS11" s="39">
        <f t="shared" si="15"/>
        <v>0.44092673656997894</v>
      </c>
      <c r="AT11" s="39">
        <f t="shared" si="16"/>
        <v>2.179944634001882</v>
      </c>
      <c r="AU11" s="47"/>
      <c r="AW11" s="28">
        <v>13</v>
      </c>
      <c r="AX11" s="34">
        <v>-2.3685399999999999</v>
      </c>
      <c r="AY11" s="34"/>
      <c r="AZ11" s="34"/>
      <c r="BA11" s="34">
        <f t="shared" si="20"/>
        <v>2.2959345635607759E-5</v>
      </c>
      <c r="BB11" s="34"/>
      <c r="BC11" s="34"/>
      <c r="BD11" s="34"/>
      <c r="BE11" s="3"/>
      <c r="BI11" s="119" t="s">
        <v>0</v>
      </c>
      <c r="BJ11" s="117">
        <v>17.5</v>
      </c>
    </row>
    <row r="12" spans="1:62" ht="18.75" customHeight="1" x14ac:dyDescent="0.3">
      <c r="A12" s="72" t="s">
        <v>4</v>
      </c>
      <c r="B12" s="105">
        <v>5.2140000000000004</v>
      </c>
      <c r="C12" s="106">
        <v>1</v>
      </c>
      <c r="D12" s="107">
        <v>0.14699999999999999</v>
      </c>
      <c r="E12" s="106">
        <v>1</v>
      </c>
      <c r="F12" s="73">
        <f t="shared" si="17"/>
        <v>0.17520852633405201</v>
      </c>
      <c r="G12" s="74">
        <f t="shared" si="18"/>
        <v>5.2087592958130049</v>
      </c>
      <c r="H12" s="75">
        <f t="shared" si="21"/>
        <v>1.1624689895843641</v>
      </c>
      <c r="I12" s="4"/>
      <c r="J12" s="4"/>
      <c r="K12" s="4"/>
      <c r="L12" s="4"/>
      <c r="N12" s="28">
        <f t="shared" si="0"/>
        <v>44.5</v>
      </c>
      <c r="O12" s="34">
        <f>5*SUM(D$7:D13)</f>
        <v>4.9999999999999991</v>
      </c>
      <c r="P12" s="34">
        <f t="shared" si="1"/>
        <v>0.96899224806201545</v>
      </c>
      <c r="Q12" s="34">
        <f t="shared" si="19"/>
        <v>3.457810049621401</v>
      </c>
      <c r="R12" s="34">
        <f t="shared" si="2"/>
        <v>9.5617605824038776E-4</v>
      </c>
      <c r="S12" s="34">
        <f t="shared" si="3"/>
        <v>3.4568538735631607</v>
      </c>
      <c r="T12" s="34">
        <f t="shared" si="4"/>
        <v>4.5314818046459751</v>
      </c>
      <c r="U12" s="34"/>
      <c r="V12" s="34" t="e">
        <f t="shared" si="5"/>
        <v>#N/A</v>
      </c>
      <c r="W12" s="34" t="e">
        <f t="shared" si="6"/>
        <v>#N/A</v>
      </c>
      <c r="X12" s="34"/>
      <c r="Y12" s="34">
        <f t="shared" si="7"/>
        <v>0</v>
      </c>
      <c r="Z12" s="34">
        <f t="shared" si="8"/>
        <v>0</v>
      </c>
      <c r="AA12" s="34">
        <f t="shared" si="9"/>
        <v>0</v>
      </c>
      <c r="AC12" s="28" t="s">
        <v>100</v>
      </c>
      <c r="AD12" s="34">
        <f>AE12+AF12</f>
        <v>14.333356123907642</v>
      </c>
      <c r="AE12" s="34">
        <f>SUMPRODUCT(Y6:Y13,Z6:Z13)</f>
        <v>8.0554475104745755</v>
      </c>
      <c r="AF12" s="34">
        <f>SUMPRODUCT(Y18:Y25,Z18:Z25)</f>
        <v>6.2779086134330671</v>
      </c>
      <c r="AG12" s="34"/>
      <c r="AH12" s="34"/>
      <c r="AL12" s="43">
        <f t="shared" si="10"/>
        <v>44.5</v>
      </c>
      <c r="AM12" s="38">
        <f t="shared" si="10"/>
        <v>0.9893022077709992</v>
      </c>
      <c r="AN12" s="39">
        <f t="shared" si="11"/>
        <v>4.5323450000000012</v>
      </c>
      <c r="AO12" s="39">
        <f t="shared" si="12"/>
        <v>0.98930319707419634</v>
      </c>
      <c r="AP12" s="39">
        <f t="shared" si="13"/>
        <v>4.5324379807042154</v>
      </c>
      <c r="AQ12" s="39">
        <f t="shared" si="14"/>
        <v>4.5314818046459751</v>
      </c>
      <c r="AR12" s="39"/>
      <c r="AS12" s="39">
        <f t="shared" si="15"/>
        <v>9.5617605824038776E-4</v>
      </c>
      <c r="AT12" s="39">
        <f t="shared" si="16"/>
        <v>4.5314818046459751</v>
      </c>
      <c r="AU12" s="47"/>
      <c r="AW12" s="28">
        <v>13.5</v>
      </c>
      <c r="AX12" s="34">
        <v>-2.2046649999999999</v>
      </c>
      <c r="AY12" s="34"/>
      <c r="AZ12" s="34"/>
      <c r="BA12" s="34">
        <f t="shared" si="20"/>
        <v>1.1538761379165061E-4</v>
      </c>
      <c r="BB12" s="34"/>
      <c r="BC12" s="34"/>
      <c r="BD12" s="34"/>
      <c r="BE12" s="3"/>
      <c r="BI12" s="119" t="s">
        <v>1</v>
      </c>
      <c r="BJ12" s="117">
        <v>22.5</v>
      </c>
    </row>
    <row r="13" spans="1:62" ht="18.75" customHeight="1" thickBot="1" x14ac:dyDescent="0.35">
      <c r="A13" s="72" t="s">
        <v>5</v>
      </c>
      <c r="B13" s="105">
        <v>6.0339999999999998</v>
      </c>
      <c r="C13" s="106">
        <v>1</v>
      </c>
      <c r="D13" s="107">
        <v>7.1999999999999995E-2</v>
      </c>
      <c r="E13" s="106">
        <v>1</v>
      </c>
      <c r="F13" s="73">
        <f t="shared" si="17"/>
        <v>8.5513869027354333E-2</v>
      </c>
      <c r="G13" s="74">
        <f t="shared" si="18"/>
        <v>5.8775056067970173</v>
      </c>
      <c r="H13" s="75">
        <f t="shared" si="21"/>
        <v>1.2020333188112391</v>
      </c>
      <c r="I13" s="4"/>
      <c r="J13" s="4"/>
      <c r="K13" s="4"/>
      <c r="L13" s="4"/>
      <c r="N13" s="30">
        <f t="shared" si="0"/>
        <v>49.5</v>
      </c>
      <c r="O13" s="35">
        <f>5*SUM(D$7:D14)</f>
        <v>5.1599999999999993</v>
      </c>
      <c r="P13" s="35">
        <v>1</v>
      </c>
      <c r="Q13" s="35" t="e">
        <f t="shared" si="19"/>
        <v>#NUM!</v>
      </c>
      <c r="R13" s="35">
        <f t="shared" ref="R13" si="22">AS13</f>
        <v>0</v>
      </c>
      <c r="S13" s="35" t="e">
        <f t="shared" ref="S13" si="23">Q13-R13</f>
        <v>#NUM!</v>
      </c>
      <c r="T13" s="35" t="e">
        <f t="shared" si="4"/>
        <v>#DIV/0!</v>
      </c>
      <c r="U13" s="35"/>
      <c r="V13" s="35" t="e">
        <f>IF(AND($E16=1,$E14=1),S13,NA())</f>
        <v>#N/A</v>
      </c>
      <c r="W13" s="35" t="e">
        <f t="shared" si="6"/>
        <v>#N/A</v>
      </c>
      <c r="X13" s="35"/>
      <c r="Y13" s="35">
        <f t="shared" ref="Y13:Y25" si="24">IF(ISNA(V13),0,V13)</f>
        <v>0</v>
      </c>
      <c r="Z13" s="35">
        <f t="shared" si="8"/>
        <v>0</v>
      </c>
      <c r="AA13" s="35">
        <f t="shared" si="9"/>
        <v>0</v>
      </c>
      <c r="AC13" s="28" t="s">
        <v>101</v>
      </c>
      <c r="AD13" s="34">
        <f>AE13+AF13</f>
        <v>14.809866516828468</v>
      </c>
      <c r="AE13" s="34">
        <f>SUMPRODUCT(Z6:Z13,Z6:Z13)</f>
        <v>8.1218342677995405</v>
      </c>
      <c r="AF13" s="34">
        <f>SUMPRODUCT(Z18:Z25,Z18:Z25)</f>
        <v>6.688032249028927</v>
      </c>
      <c r="AG13" s="34"/>
      <c r="AH13" s="34"/>
      <c r="AL13" s="44">
        <f t="shared" si="10"/>
        <v>49.5</v>
      </c>
      <c r="AM13" s="40">
        <f t="shared" si="10"/>
        <v>0.99999899999999997</v>
      </c>
      <c r="AN13" s="40">
        <f t="shared" si="11"/>
        <v>13.81551005793531</v>
      </c>
      <c r="AO13" s="40" t="e">
        <f t="shared" si="12"/>
        <v>#DIV/0!</v>
      </c>
      <c r="AP13" s="40" t="e">
        <f t="shared" si="13"/>
        <v>#DIV/0!</v>
      </c>
      <c r="AQ13" s="40" t="e">
        <f>((AN14*EXP(-AN14))-(AN13*EXP(-AN13)))/LN(AO13)</f>
        <v>#DIV/0!</v>
      </c>
      <c r="AR13" s="40"/>
      <c r="AS13" s="40"/>
      <c r="AT13" s="40" t="e">
        <f t="shared" si="16"/>
        <v>#DIV/0!</v>
      </c>
      <c r="AU13" s="47"/>
      <c r="AW13" s="28">
        <v>14</v>
      </c>
      <c r="AX13" s="34">
        <v>-2.0407899999999999</v>
      </c>
      <c r="AY13" s="34"/>
      <c r="AZ13" s="34"/>
      <c r="BA13" s="34">
        <f t="shared" si="20"/>
        <v>4.5432980513205316E-4</v>
      </c>
      <c r="BB13" s="34"/>
      <c r="BC13" s="34"/>
      <c r="BD13" s="34"/>
      <c r="BE13" s="3"/>
      <c r="BI13" s="119" t="s">
        <v>2</v>
      </c>
      <c r="BJ13" s="117">
        <v>27.5</v>
      </c>
    </row>
    <row r="14" spans="1:62" ht="18.75" customHeight="1" x14ac:dyDescent="0.3">
      <c r="A14" s="72" t="s">
        <v>6</v>
      </c>
      <c r="B14" s="105">
        <v>6.4530000000000003</v>
      </c>
      <c r="C14" s="106"/>
      <c r="D14" s="107">
        <v>3.2000000000000001E-2</v>
      </c>
      <c r="E14" s="106"/>
      <c r="F14" s="73">
        <f t="shared" si="17"/>
        <v>1.2287004755799736E-2</v>
      </c>
      <c r="G14" s="74">
        <f t="shared" si="18"/>
        <v>6.0911876578551798</v>
      </c>
      <c r="H14" s="75">
        <f t="shared" si="21"/>
        <v>1.2492135850892563</v>
      </c>
      <c r="I14" s="4"/>
      <c r="J14" s="4"/>
      <c r="K14" s="4"/>
      <c r="L14" s="4"/>
      <c r="N14" s="2"/>
      <c r="P14" s="3"/>
      <c r="Q14" s="3"/>
      <c r="R14" s="3"/>
      <c r="S14" s="3"/>
      <c r="T14" s="3"/>
      <c r="V14" s="3"/>
      <c r="W14" s="3"/>
      <c r="Y14" s="3"/>
      <c r="Z14" s="3"/>
      <c r="AA14" s="3"/>
      <c r="AD14" s="34"/>
      <c r="AE14" s="34"/>
      <c r="AF14" s="34"/>
      <c r="AG14" s="34"/>
      <c r="AH14" s="34"/>
      <c r="AL14" s="45"/>
      <c r="AM14" s="46"/>
      <c r="AN14" s="46"/>
      <c r="AO14" s="45"/>
      <c r="AP14" s="45"/>
      <c r="AQ14" s="45"/>
      <c r="AR14" s="58">
        <f>AVERAGE(AR7:AR9)</f>
        <v>0.95749948403306373</v>
      </c>
      <c r="AS14" s="47"/>
      <c r="AT14" s="47"/>
      <c r="AU14" s="47"/>
      <c r="AW14" s="28">
        <v>14.5</v>
      </c>
      <c r="AX14" s="34">
        <v>-1.8964449999999999</v>
      </c>
      <c r="AY14" s="34"/>
      <c r="AZ14" s="34"/>
      <c r="BA14" s="34">
        <f t="shared" si="20"/>
        <v>1.2783714883985553E-3</v>
      </c>
      <c r="BB14" s="34"/>
      <c r="BC14" s="34"/>
      <c r="BD14" s="34"/>
      <c r="BE14" s="3"/>
      <c r="BI14" s="119" t="s">
        <v>3</v>
      </c>
      <c r="BJ14" s="117">
        <v>32.5</v>
      </c>
    </row>
    <row r="15" spans="1:62" ht="18.75" customHeight="1" thickBot="1" x14ac:dyDescent="0.35">
      <c r="A15" s="72" t="s">
        <v>49</v>
      </c>
      <c r="B15" s="108"/>
      <c r="C15" s="109"/>
      <c r="D15" s="109"/>
      <c r="E15" s="109"/>
      <c r="F15" s="73"/>
      <c r="G15" s="74"/>
      <c r="H15" s="75"/>
      <c r="I15" s="2"/>
      <c r="J15" s="2"/>
      <c r="K15" s="2"/>
      <c r="L15" s="2"/>
      <c r="N15" s="2"/>
      <c r="P15" s="3"/>
      <c r="V15" s="3"/>
      <c r="W15" s="3"/>
      <c r="Y15" s="3"/>
      <c r="Z15" s="3"/>
      <c r="AA15" s="3"/>
      <c r="AD15" s="34"/>
      <c r="AE15" s="34"/>
      <c r="AF15" s="34"/>
      <c r="AG15" s="34"/>
      <c r="AH15" s="34"/>
      <c r="AL15" s="41"/>
      <c r="AM15" s="41"/>
      <c r="AN15" s="132" t="s">
        <v>23</v>
      </c>
      <c r="AO15" s="132"/>
      <c r="AP15" s="132"/>
      <c r="AQ15" s="132"/>
      <c r="AR15" s="132"/>
      <c r="AS15" s="132"/>
      <c r="AT15" s="132"/>
      <c r="AU15" s="47"/>
      <c r="AW15" s="28">
        <v>15</v>
      </c>
      <c r="AX15" s="34">
        <v>-1.7521</v>
      </c>
      <c r="AY15" s="34"/>
      <c r="AZ15" s="34"/>
      <c r="BA15" s="34">
        <f t="shared" si="20"/>
        <v>3.1300695963830103E-3</v>
      </c>
      <c r="BB15" s="34"/>
      <c r="BC15" s="34"/>
      <c r="BD15" s="34">
        <f t="shared" ref="BD15:BD46" si="25">0.2*(0.25*(BA5+BA15)+0.5*SUM(BA6:BA14))</f>
        <v>3.4388210159756218E-4</v>
      </c>
      <c r="BE15" s="3"/>
      <c r="BI15" s="119" t="s">
        <v>4</v>
      </c>
      <c r="BJ15" s="117">
        <v>37.5</v>
      </c>
    </row>
    <row r="16" spans="1:62" ht="18.75" customHeight="1" thickBot="1" x14ac:dyDescent="0.35">
      <c r="A16" s="27" t="s">
        <v>90</v>
      </c>
      <c r="D16" s="84">
        <f>5*SUM(D8:D14)</f>
        <v>5.1599999999999993</v>
      </c>
      <c r="F16" s="85">
        <f>5*SUM(F8:F14)</f>
        <v>6.089444177675329</v>
      </c>
      <c r="G16" s="86"/>
      <c r="H16" s="87"/>
      <c r="I16" s="2"/>
      <c r="J16" s="2"/>
      <c r="K16" s="2"/>
      <c r="L16" s="2"/>
      <c r="N16" s="31" t="s">
        <v>52</v>
      </c>
      <c r="O16" s="31"/>
      <c r="P16" s="31"/>
      <c r="Q16" s="31"/>
      <c r="R16" s="31"/>
      <c r="S16" s="31"/>
      <c r="T16" s="31"/>
      <c r="U16" s="31"/>
      <c r="V16" s="135"/>
      <c r="W16" s="135"/>
      <c r="X16" s="31"/>
      <c r="Y16" s="135"/>
      <c r="Z16" s="135"/>
      <c r="AA16" s="60"/>
      <c r="AC16" s="28" t="s">
        <v>102</v>
      </c>
      <c r="AD16" s="34">
        <f>(AD12-(AD10*AD11)/AD8)/(AD13-(AD11*AD11/AD8))</f>
        <v>0.96654365011363819</v>
      </c>
      <c r="AE16" s="34">
        <f>(AE12-(AE10*AE11)/AE8)/(AE13-(AE11*AE11/AE8))</f>
        <v>0.99352194808694905</v>
      </c>
      <c r="AF16" s="34">
        <f>(AF12-(AF10*AF11)/AF8)/(AF13-(AF11*AF11/AF8))</f>
        <v>0.92075651695882188</v>
      </c>
      <c r="AG16" s="34"/>
      <c r="AH16" s="34">
        <f>IF($BJ$19=1,AD16,AE16)</f>
        <v>0.96654365011363819</v>
      </c>
      <c r="AL16" s="42" t="s">
        <v>21</v>
      </c>
      <c r="AM16" s="42" t="s">
        <v>22</v>
      </c>
      <c r="AN16" s="42" t="s">
        <v>14</v>
      </c>
      <c r="AO16" s="42" t="s">
        <v>42</v>
      </c>
      <c r="AP16" s="42" t="s">
        <v>43</v>
      </c>
      <c r="AQ16" s="42" t="s">
        <v>44</v>
      </c>
      <c r="AR16" s="42" t="s">
        <v>45</v>
      </c>
      <c r="AS16" s="42" t="s">
        <v>10</v>
      </c>
      <c r="AT16" s="42" t="s">
        <v>12</v>
      </c>
      <c r="AU16" s="47"/>
      <c r="AW16" s="28">
        <v>15.5</v>
      </c>
      <c r="AX16" s="34">
        <v>-1.6224799999999999</v>
      </c>
      <c r="AY16" s="34"/>
      <c r="AZ16" s="34"/>
      <c r="BA16" s="34">
        <f t="shared" si="20"/>
        <v>6.3098868612186413E-3</v>
      </c>
      <c r="BB16" s="34"/>
      <c r="BC16" s="34"/>
      <c r="BD16" s="34">
        <f t="shared" si="25"/>
        <v>8.1587992447764487E-4</v>
      </c>
      <c r="BE16" s="3"/>
      <c r="BI16" s="119" t="s">
        <v>5</v>
      </c>
      <c r="BJ16" s="117">
        <v>42.5</v>
      </c>
    </row>
    <row r="17" spans="1:62" ht="18.75" customHeight="1" x14ac:dyDescent="0.3">
      <c r="A17" s="5"/>
      <c r="B17" s="2"/>
      <c r="E17" s="88"/>
      <c r="G17" s="2"/>
      <c r="H17" s="2"/>
      <c r="I17" s="2"/>
      <c r="J17" s="2"/>
      <c r="K17" s="2"/>
      <c r="L17" s="2"/>
      <c r="N17" s="30"/>
      <c r="O17" s="30" t="s">
        <v>92</v>
      </c>
      <c r="P17" s="30" t="s">
        <v>32</v>
      </c>
      <c r="Q17" s="30" t="s">
        <v>34</v>
      </c>
      <c r="R17" s="30" t="s">
        <v>28</v>
      </c>
      <c r="S17" s="30" t="s">
        <v>35</v>
      </c>
      <c r="T17" s="30" t="s">
        <v>29</v>
      </c>
      <c r="U17" s="30"/>
      <c r="V17" s="30"/>
      <c r="W17" s="30"/>
      <c r="X17" s="30"/>
      <c r="Y17" s="30"/>
      <c r="Z17" s="30"/>
      <c r="AA17" s="30"/>
      <c r="AC17" s="28" t="s">
        <v>103</v>
      </c>
      <c r="AD17" s="34">
        <f>AD10/AD8-(AD16*AD11/AD8)</f>
        <v>-5.3921011745882617E-2</v>
      </c>
      <c r="AE17" s="34">
        <f>AE10/AE8-(AE16*AE11/AE8)</f>
        <v>-1.7461819254096761E-2</v>
      </c>
      <c r="AF17" s="34">
        <f>AF10/AF8-(AF16*AF11/AF8)</f>
        <v>-0.10508132853463634</v>
      </c>
      <c r="AG17" s="34"/>
      <c r="AH17" s="34">
        <f>IF($BJ$19=1,AD17,AE17)</f>
        <v>-5.3921011745882617E-2</v>
      </c>
      <c r="AL17" s="48">
        <v>15</v>
      </c>
      <c r="AM17" s="39">
        <f t="shared" ref="AM17:AM24" si="26">AM43</f>
        <v>3.1300695963830103E-3</v>
      </c>
      <c r="AN17" s="39">
        <f>-LN(-LN(AM17))</f>
        <v>-1.7521</v>
      </c>
      <c r="AO17" s="39">
        <f>AM17/AM18</f>
        <v>2.3043051910004782E-2</v>
      </c>
      <c r="AP17" s="39">
        <f>-LN(-LN(AO17))</f>
        <v>-1.3271787071048347</v>
      </c>
      <c r="AQ17" s="39">
        <f>((AN18*EXP(-AN18))-(AN17*EXP(-AN17)))/LN(AO17)</f>
        <v>-2.3137618128813635</v>
      </c>
      <c r="AR17" s="39"/>
      <c r="AS17" s="39">
        <f>AP17-AQ17</f>
        <v>0.98658310577652886</v>
      </c>
      <c r="AT17" s="39">
        <f>AQ17</f>
        <v>-2.3137618128813635</v>
      </c>
      <c r="AU17" s="47"/>
      <c r="AW17" s="28">
        <v>16</v>
      </c>
      <c r="AX17" s="34">
        <v>-1.4928600000000001</v>
      </c>
      <c r="AY17" s="34"/>
      <c r="AZ17" s="34"/>
      <c r="BA17" s="34">
        <f t="shared" si="20"/>
        <v>1.1680858806473245E-2</v>
      </c>
      <c r="BB17" s="34"/>
      <c r="BC17" s="34"/>
      <c r="BD17" s="34">
        <f t="shared" si="25"/>
        <v>1.7154172056230142E-3</v>
      </c>
      <c r="BE17" s="3"/>
      <c r="BI17" s="119" t="s">
        <v>6</v>
      </c>
      <c r="BJ17" s="117">
        <v>47.5</v>
      </c>
    </row>
    <row r="18" spans="1:62" ht="18.75" customHeight="1" x14ac:dyDescent="0.3">
      <c r="A18" s="5"/>
      <c r="B18" s="2"/>
      <c r="F18" s="2"/>
      <c r="G18" s="2"/>
      <c r="H18" s="2"/>
      <c r="I18" s="4"/>
      <c r="J18" s="4"/>
      <c r="K18" s="4"/>
      <c r="L18" s="4"/>
      <c r="N18" s="2"/>
      <c r="O18" s="7">
        <v>0</v>
      </c>
      <c r="P18" s="34">
        <f t="shared" ref="P18:P24" si="27">B7/B8</f>
        <v>0</v>
      </c>
      <c r="Q18" s="34" t="e">
        <f t="shared" ref="Q18:Q25" si="28">IF(AND(P18&lt;&gt;0,P18&lt;1),-LN(-LN(P18)),NA())</f>
        <v>#N/A</v>
      </c>
      <c r="R18" s="34">
        <f t="shared" ref="R18:R25" si="29">AT28</f>
        <v>1.0467508348268919</v>
      </c>
      <c r="S18" s="34" t="e">
        <f t="shared" ref="S18:S25" si="30">IF($BJ$19=1,Q18-R18,NA())</f>
        <v>#N/A</v>
      </c>
      <c r="T18" s="34">
        <f t="shared" ref="T18:T25" si="31">AU28</f>
        <v>-2.6605532578841791</v>
      </c>
      <c r="U18" s="34"/>
      <c r="V18" s="34" t="e">
        <f>IF(AND($C8=1,$C7=1,$BJ$19=1),S18,NA())</f>
        <v>#N/A</v>
      </c>
      <c r="W18" s="34" t="e">
        <f t="shared" ref="W18:W25" si="32">IF(AND($C8=1,$C7=1,$BJ$19=1),T18,NA())</f>
        <v>#N/A</v>
      </c>
      <c r="X18" s="34"/>
      <c r="Y18" s="34">
        <f t="shared" si="24"/>
        <v>0</v>
      </c>
      <c r="Z18" s="34">
        <f>IF(ISNA(V18),0,W18)</f>
        <v>0</v>
      </c>
      <c r="AA18" s="34">
        <f t="shared" ref="AA18:AA25" si="33">IF(ISNA(V18),0,(($AH$17+$AH$16*W18)-V18)^2)</f>
        <v>0</v>
      </c>
      <c r="AC18" s="28" t="s">
        <v>40</v>
      </c>
      <c r="AD18" s="34">
        <f>AD17-0.5*IF($BJ$5=1,AD5,AD4)*(AD16-1)^2</f>
        <v>-5.445716669189643E-2</v>
      </c>
      <c r="AE18" s="34">
        <f>AE17-0.5*IF($BJ$5=1,AE5,AE4)*(AE16-1)^2</f>
        <v>-1.7481910061987037E-2</v>
      </c>
      <c r="AF18" s="34">
        <f>AF17-0.5*IF($BJ$5=1,AF5,AF4)*(AF16-1)^2</f>
        <v>-0.10809076270032321</v>
      </c>
      <c r="AG18" s="34"/>
      <c r="AH18" s="34">
        <f>IF($BJ$19=1,AD18,AE18)</f>
        <v>-5.445716669189643E-2</v>
      </c>
      <c r="AL18" s="48">
        <v>20</v>
      </c>
      <c r="AM18" s="39">
        <f t="shared" si="26"/>
        <v>0.13583572213470577</v>
      </c>
      <c r="AN18" s="39">
        <f t="shared" ref="AN18:AN24" si="34">-LN(-LN(AM18))</f>
        <v>-0.69130000000000003</v>
      </c>
      <c r="AO18" s="39">
        <f t="shared" ref="AO18:AO23" si="35">AM18/AM19</f>
        <v>0.36001012048431658</v>
      </c>
      <c r="AP18" s="39">
        <f t="shared" ref="AP18:AP23" si="36">-LN(-LN(AO18))</f>
        <v>-2.1392671790158416E-2</v>
      </c>
      <c r="AQ18" s="39">
        <f t="shared" ref="AQ18:AQ23" si="37">((AN19*EXP(-AN19))-(AN18*EXP(-AN18)))/LN(AO18)</f>
        <v>-1.3753010709239122</v>
      </c>
      <c r="AR18" s="39">
        <f>((AN18-AN19)^2*EXP(AN18+AN19))/(EXP(AN18)-EXP(AN19))^2</f>
        <v>0.9582451928132486</v>
      </c>
      <c r="AS18" s="39">
        <f t="shared" ref="AS18:AS23" si="38">AP18-AQ18</f>
        <v>1.3539083991337537</v>
      </c>
      <c r="AT18" s="39">
        <f t="shared" ref="AT18:AT23" si="39">AQ18</f>
        <v>-1.3753010709239122</v>
      </c>
      <c r="AU18" s="47"/>
      <c r="AW18" s="28">
        <v>16.5</v>
      </c>
      <c r="AX18" s="34">
        <v>-1.3717350000000001</v>
      </c>
      <c r="AY18" s="34"/>
      <c r="AZ18" s="34"/>
      <c r="BA18" s="34">
        <f t="shared" si="20"/>
        <v>1.9405777353897931E-2</v>
      </c>
      <c r="BB18" s="34"/>
      <c r="BC18" s="34"/>
      <c r="BD18" s="34">
        <f t="shared" si="25"/>
        <v>3.2697487899254266E-3</v>
      </c>
      <c r="BE18" s="3"/>
      <c r="BI18" s="119" t="s">
        <v>50</v>
      </c>
      <c r="BJ18" s="117">
        <v>52.5</v>
      </c>
    </row>
    <row r="19" spans="1:62" ht="18.75" customHeight="1" x14ac:dyDescent="0.3">
      <c r="A19" s="5"/>
      <c r="B19" s="2"/>
      <c r="F19" s="4"/>
      <c r="G19" s="4"/>
      <c r="H19" s="4"/>
      <c r="I19" s="4"/>
      <c r="J19" s="4"/>
      <c r="K19" s="4"/>
      <c r="L19" s="4"/>
      <c r="N19" s="2"/>
      <c r="O19" s="7">
        <v>1</v>
      </c>
      <c r="P19" s="34">
        <f t="shared" si="27"/>
        <v>0.18472584856396865</v>
      </c>
      <c r="Q19" s="34">
        <f t="shared" si="28"/>
        <v>-0.52406703958215051</v>
      </c>
      <c r="R19" s="34">
        <f t="shared" si="29"/>
        <v>1.2850406326741979</v>
      </c>
      <c r="S19" s="34">
        <f t="shared" si="30"/>
        <v>-1.8091076722563484</v>
      </c>
      <c r="T19" s="34">
        <f t="shared" si="31"/>
        <v>-1.746661976392049</v>
      </c>
      <c r="U19" s="34"/>
      <c r="V19" s="34">
        <f t="shared" ref="V19:V25" si="40">IF(AND($C9=1,$C8=1,$BJ$19=1),S19,NA())</f>
        <v>-1.8091076722563484</v>
      </c>
      <c r="W19" s="34">
        <f t="shared" si="32"/>
        <v>-1.746661976392049</v>
      </c>
      <c r="X19" s="34"/>
      <c r="Y19" s="34">
        <f t="shared" si="24"/>
        <v>-1.8091076722563484</v>
      </c>
      <c r="Z19" s="34">
        <f t="shared" ref="Z19:Z25" si="41">IF(ISNA(V19),0,W19)</f>
        <v>-1.746661976392049</v>
      </c>
      <c r="AA19" s="34">
        <f t="shared" si="33"/>
        <v>4.4838583298806066E-3</v>
      </c>
      <c r="AL19" s="48">
        <v>25</v>
      </c>
      <c r="AM19" s="39">
        <f t="shared" si="26"/>
        <v>0.37731084323953967</v>
      </c>
      <c r="AN19" s="39">
        <f t="shared" si="34"/>
        <v>2.5640000000000027E-2</v>
      </c>
      <c r="AO19" s="39">
        <f t="shared" si="35"/>
        <v>0.61995981993834604</v>
      </c>
      <c r="AP19" s="39">
        <f t="shared" si="36"/>
        <v>0.73793408831619267</v>
      </c>
      <c r="AQ19" s="39">
        <f t="shared" si="37"/>
        <v>-0.67479262598867551</v>
      </c>
      <c r="AR19" s="39">
        <f>((AN19-AN20)^2*EXP(AN19+AN20))/(EXP(AN19)-EXP(AN20))^2</f>
        <v>0.96294960921111461</v>
      </c>
      <c r="AS19" s="39">
        <f t="shared" si="38"/>
        <v>1.4127267143048683</v>
      </c>
      <c r="AT19" s="39">
        <f t="shared" si="39"/>
        <v>-0.67479262598867551</v>
      </c>
      <c r="AU19" s="47"/>
      <c r="AW19" s="28">
        <v>17</v>
      </c>
      <c r="AX19" s="34">
        <v>-1.25061</v>
      </c>
      <c r="AY19" s="34"/>
      <c r="AZ19" s="34"/>
      <c r="BA19" s="34">
        <f t="shared" si="20"/>
        <v>3.0425545340527094E-2</v>
      </c>
      <c r="BB19" s="34"/>
      <c r="BC19" s="34"/>
      <c r="BD19" s="34">
        <f t="shared" si="25"/>
        <v>5.7613056690701747E-3</v>
      </c>
      <c r="BE19" s="3"/>
      <c r="BI19" s="111" t="s">
        <v>124</v>
      </c>
      <c r="BJ19" s="112">
        <f>MATCH(Introduction!$E$13,BI20:BI21,0)</f>
        <v>1</v>
      </c>
    </row>
    <row r="20" spans="1:62" ht="18.75" customHeight="1" x14ac:dyDescent="0.3">
      <c r="A20" s="5"/>
      <c r="B20" s="2"/>
      <c r="F20" s="4"/>
      <c r="G20" s="4"/>
      <c r="H20" s="4"/>
      <c r="I20" s="4"/>
      <c r="J20" s="4"/>
      <c r="K20" s="4"/>
      <c r="L20" s="4"/>
      <c r="N20" s="2"/>
      <c r="O20" s="7">
        <v>2</v>
      </c>
      <c r="P20" s="34">
        <f t="shared" si="27"/>
        <v>0.53773253773253771</v>
      </c>
      <c r="Q20" s="34">
        <f t="shared" si="28"/>
        <v>0.47740054437832691</v>
      </c>
      <c r="R20" s="34">
        <f t="shared" si="29"/>
        <v>1.4239931459244659</v>
      </c>
      <c r="S20" s="34">
        <f t="shared" si="30"/>
        <v>-0.946592601546139</v>
      </c>
      <c r="T20" s="34">
        <f t="shared" si="31"/>
        <v>-1.0158866417223078</v>
      </c>
      <c r="U20" s="34"/>
      <c r="V20" s="34">
        <f t="shared" si="40"/>
        <v>-0.946592601546139</v>
      </c>
      <c r="W20" s="34">
        <f t="shared" si="32"/>
        <v>-1.0158866417223078</v>
      </c>
      <c r="X20" s="34"/>
      <c r="Y20" s="34">
        <f t="shared" si="24"/>
        <v>-0.946592601546139</v>
      </c>
      <c r="Z20" s="34">
        <f t="shared" si="41"/>
        <v>-1.0158866417223078</v>
      </c>
      <c r="AA20" s="34">
        <f t="shared" si="33"/>
        <v>7.9614919691796439E-3</v>
      </c>
      <c r="AC20" s="31" t="s">
        <v>104</v>
      </c>
      <c r="AD20" s="31"/>
      <c r="AE20" s="31"/>
      <c r="AF20" s="31"/>
      <c r="AG20" s="31"/>
      <c r="AH20" s="31"/>
      <c r="AI20" s="31"/>
      <c r="AJ20" s="7"/>
      <c r="AL20" s="48">
        <v>30</v>
      </c>
      <c r="AM20" s="39">
        <f t="shared" si="26"/>
        <v>0.60860531780440641</v>
      </c>
      <c r="AN20" s="39">
        <f t="shared" si="34"/>
        <v>0.7</v>
      </c>
      <c r="AO20" s="39">
        <f t="shared" si="35"/>
        <v>0.76440612593374357</v>
      </c>
      <c r="AP20" s="39">
        <f t="shared" si="36"/>
        <v>1.3143233323529984</v>
      </c>
      <c r="AQ20" s="39">
        <f t="shared" si="37"/>
        <v>3.9329731225932155E-2</v>
      </c>
      <c r="AR20" s="39">
        <f>((AN20-AN21)^2*EXP(AN20+AN21))/(EXP(AN20)-EXP(AN21))^2</f>
        <v>0.95096235574174137</v>
      </c>
      <c r="AS20" s="39">
        <f t="shared" si="38"/>
        <v>1.2749936011270662</v>
      </c>
      <c r="AT20" s="39">
        <f t="shared" si="39"/>
        <v>3.9329731225932155E-2</v>
      </c>
      <c r="AU20" s="47"/>
      <c r="AW20" s="28">
        <v>17.5</v>
      </c>
      <c r="AX20" s="34">
        <v>-1.1476999999999999</v>
      </c>
      <c r="AY20" s="34"/>
      <c r="AZ20" s="34"/>
      <c r="BA20" s="34">
        <f t="shared" si="20"/>
        <v>4.2811975547628743E-2</v>
      </c>
      <c r="BB20" s="34"/>
      <c r="BC20" s="34"/>
      <c r="BD20" s="34">
        <f t="shared" si="25"/>
        <v>9.4230450389528025E-3</v>
      </c>
      <c r="BE20" s="3"/>
      <c r="BI20" s="125" t="s">
        <v>125</v>
      </c>
      <c r="BJ20" s="120"/>
    </row>
    <row r="21" spans="1:62" ht="18.75" customHeight="1" x14ac:dyDescent="0.3">
      <c r="A21" s="5"/>
      <c r="B21" s="2"/>
      <c r="F21" s="4"/>
      <c r="G21" s="4"/>
      <c r="H21" s="4"/>
      <c r="I21" s="4"/>
      <c r="J21" s="4"/>
      <c r="K21" s="4"/>
      <c r="L21" s="4"/>
      <c r="N21" s="2"/>
      <c r="O21" s="7">
        <v>3</v>
      </c>
      <c r="P21" s="34">
        <f t="shared" si="27"/>
        <v>0.68076463560334544</v>
      </c>
      <c r="Q21" s="34">
        <f t="shared" si="28"/>
        <v>0.9557109790262861</v>
      </c>
      <c r="R21" s="34">
        <f t="shared" si="29"/>
        <v>1.3716680817709606</v>
      </c>
      <c r="S21" s="34">
        <f t="shared" si="30"/>
        <v>-0.41595710274467446</v>
      </c>
      <c r="T21" s="34">
        <f t="shared" si="31"/>
        <v>-0.33492430178104132</v>
      </c>
      <c r="U21" s="34"/>
      <c r="V21" s="34">
        <f t="shared" si="40"/>
        <v>-0.41595710274467446</v>
      </c>
      <c r="W21" s="34">
        <f t="shared" si="32"/>
        <v>-0.33492430178104132</v>
      </c>
      <c r="X21" s="34"/>
      <c r="Y21" s="34">
        <f t="shared" si="24"/>
        <v>-0.41595710274467446</v>
      </c>
      <c r="Z21" s="34">
        <f t="shared" si="41"/>
        <v>-0.33492430178104132</v>
      </c>
      <c r="AA21" s="34">
        <f t="shared" si="33"/>
        <v>1.4682027459870142E-3</v>
      </c>
      <c r="AC21" s="30" t="s">
        <v>33</v>
      </c>
      <c r="AD21" s="30" t="s">
        <v>14</v>
      </c>
      <c r="AE21" s="30" t="s">
        <v>105</v>
      </c>
      <c r="AF21" s="30" t="s">
        <v>67</v>
      </c>
      <c r="AG21" s="30" t="s">
        <v>15</v>
      </c>
      <c r="AH21" s="30" t="s">
        <v>16</v>
      </c>
      <c r="AI21" s="30" t="s">
        <v>106</v>
      </c>
      <c r="AJ21" s="7"/>
      <c r="AL21" s="48">
        <v>35</v>
      </c>
      <c r="AM21" s="39">
        <f t="shared" si="26"/>
        <v>0.79618058667567304</v>
      </c>
      <c r="AN21" s="39">
        <f t="shared" si="34"/>
        <v>1.47872</v>
      </c>
      <c r="AO21" s="39">
        <f t="shared" si="35"/>
        <v>0.85593285611670689</v>
      </c>
      <c r="AP21" s="39">
        <f t="shared" si="36"/>
        <v>1.8607022667572284</v>
      </c>
      <c r="AQ21" s="39">
        <f t="shared" si="37"/>
        <v>0.94501198471450287</v>
      </c>
      <c r="AR21" s="39"/>
      <c r="AS21" s="39">
        <f t="shared" si="38"/>
        <v>0.91569028204272551</v>
      </c>
      <c r="AT21" s="39">
        <f t="shared" si="39"/>
        <v>0.94501198471450287</v>
      </c>
      <c r="AU21" s="47"/>
      <c r="AW21" s="28">
        <v>18</v>
      </c>
      <c r="AX21" s="34">
        <v>-1.0447900000000001</v>
      </c>
      <c r="AY21" s="34"/>
      <c r="AZ21" s="34"/>
      <c r="BA21" s="34">
        <f t="shared" si="20"/>
        <v>5.8262217114629582E-2</v>
      </c>
      <c r="BB21" s="34"/>
      <c r="BC21" s="34"/>
      <c r="BD21" s="34">
        <f t="shared" si="25"/>
        <v>1.4475479064358351E-2</v>
      </c>
      <c r="BE21" s="3"/>
      <c r="BI21" s="122" t="s">
        <v>126</v>
      </c>
      <c r="BJ21" s="121"/>
    </row>
    <row r="22" spans="1:62" ht="18.75" customHeight="1" x14ac:dyDescent="0.3">
      <c r="A22" s="5"/>
      <c r="B22" s="2"/>
      <c r="F22" s="4"/>
      <c r="G22" s="4"/>
      <c r="H22" s="4"/>
      <c r="I22" s="4"/>
      <c r="J22" s="4"/>
      <c r="K22" s="4"/>
      <c r="L22" s="4"/>
      <c r="N22" s="2"/>
      <c r="O22" s="7">
        <v>4</v>
      </c>
      <c r="P22" s="34">
        <f t="shared" si="27"/>
        <v>0.80264672036823925</v>
      </c>
      <c r="Q22" s="34">
        <f t="shared" si="28"/>
        <v>1.5148524880657799</v>
      </c>
      <c r="R22" s="34">
        <f t="shared" si="29"/>
        <v>1.1403597752364063</v>
      </c>
      <c r="S22" s="34">
        <f t="shared" si="30"/>
        <v>0.37449271282937358</v>
      </c>
      <c r="T22" s="34">
        <f t="shared" si="31"/>
        <v>0.44064864091055989</v>
      </c>
      <c r="U22" s="34"/>
      <c r="V22" s="34">
        <f t="shared" si="40"/>
        <v>0.37449271282937358</v>
      </c>
      <c r="W22" s="34">
        <f t="shared" si="32"/>
        <v>0.44064864091055989</v>
      </c>
      <c r="X22" s="34"/>
      <c r="Y22" s="34">
        <f t="shared" si="24"/>
        <v>0.37449271282937358</v>
      </c>
      <c r="Z22" s="34">
        <f t="shared" si="41"/>
        <v>0.44064864091055989</v>
      </c>
      <c r="AA22" s="34">
        <f t="shared" si="33"/>
        <v>6.287951297533228E-6</v>
      </c>
      <c r="AC22" s="28">
        <f t="shared" ref="AC22:AC29" si="42">AL6</f>
        <v>14.5</v>
      </c>
      <c r="AD22" s="34">
        <f t="shared" ref="AD22:AD29" si="43">AN6</f>
        <v>-1.8964449999999999</v>
      </c>
      <c r="AE22" s="34">
        <f t="shared" ref="AE22:AE29" si="44">IF($BJ$19=2,AE$18+AE$16*AD22,AH$18+AD22*AH$16)</f>
        <v>-1.887454039231655</v>
      </c>
      <c r="AF22" s="34">
        <f t="shared" ref="AF22:AF29" si="45">EXP(-EXP(-AE22))</f>
        <v>1.3569205298358071E-3</v>
      </c>
      <c r="AG22" s="34">
        <f t="shared" ref="AG22:AG29" si="46">AF22*IF($BJ$19=1,AI$53,AI$30)</f>
        <v>8.2894812785844901E-3</v>
      </c>
      <c r="AH22" s="34">
        <f>AG22/5</f>
        <v>1.657896255716898E-3</v>
      </c>
      <c r="AI22" s="34" t="str">
        <f>IF(E7=1,5/AF22*SUMPRODUCT(D$7:D7,E$7:E7),"")</f>
        <v/>
      </c>
      <c r="AJ22" s="3"/>
      <c r="AL22" s="48">
        <v>40</v>
      </c>
      <c r="AM22" s="39">
        <f t="shared" si="26"/>
        <v>0.9301904711169463</v>
      </c>
      <c r="AN22" s="39">
        <f t="shared" si="34"/>
        <v>2.6260200000000005</v>
      </c>
      <c r="AO22" s="39">
        <f t="shared" si="35"/>
        <v>0.93780278582953702</v>
      </c>
      <c r="AP22" s="39">
        <f t="shared" si="36"/>
        <v>2.7455090802066415</v>
      </c>
      <c r="AQ22" s="39">
        <f t="shared" si="37"/>
        <v>2.3488652855486118</v>
      </c>
      <c r="AR22" s="39"/>
      <c r="AS22" s="39">
        <f t="shared" si="38"/>
        <v>0.39664379465802968</v>
      </c>
      <c r="AT22" s="39">
        <f t="shared" si="39"/>
        <v>2.3488652855486118</v>
      </c>
      <c r="AU22" s="47"/>
      <c r="AW22" s="28">
        <v>18.5</v>
      </c>
      <c r="AX22" s="34">
        <v>-0.95203000000000004</v>
      </c>
      <c r="AY22" s="34"/>
      <c r="AZ22" s="34"/>
      <c r="BA22" s="34">
        <f t="shared" si="20"/>
        <v>7.4947757018170039E-2</v>
      </c>
      <c r="BB22" s="34"/>
      <c r="BC22" s="34"/>
      <c r="BD22" s="34">
        <f t="shared" si="25"/>
        <v>2.1129060423026969E-2</v>
      </c>
      <c r="BE22" s="3"/>
    </row>
    <row r="23" spans="1:62" ht="18.75" customHeight="1" x14ac:dyDescent="0.3">
      <c r="A23" s="5"/>
      <c r="B23" s="2"/>
      <c r="F23" s="4"/>
      <c r="G23" s="4"/>
      <c r="H23" s="4"/>
      <c r="I23" s="4"/>
      <c r="J23" s="4"/>
      <c r="K23" s="4"/>
      <c r="L23" s="4"/>
      <c r="N23" s="2"/>
      <c r="O23" s="7">
        <v>5</v>
      </c>
      <c r="P23" s="34">
        <f t="shared" si="27"/>
        <v>0.86410341398740476</v>
      </c>
      <c r="Q23" s="34">
        <f t="shared" si="28"/>
        <v>1.9237184400663914</v>
      </c>
      <c r="R23" s="34">
        <f t="shared" si="29"/>
        <v>0.70220659411705366</v>
      </c>
      <c r="S23" s="34">
        <f t="shared" si="30"/>
        <v>1.2215118459493377</v>
      </c>
      <c r="T23" s="34">
        <f t="shared" si="31"/>
        <v>1.5161902940480383</v>
      </c>
      <c r="U23" s="34"/>
      <c r="V23" s="34">
        <f t="shared" si="40"/>
        <v>1.2215118459493377</v>
      </c>
      <c r="W23" s="34">
        <f t="shared" si="32"/>
        <v>1.5161902940480383</v>
      </c>
      <c r="X23" s="34"/>
      <c r="Y23" s="34">
        <f t="shared" si="24"/>
        <v>1.2215118459493377</v>
      </c>
      <c r="Z23" s="34">
        <f t="shared" si="41"/>
        <v>1.5161902940480383</v>
      </c>
      <c r="AA23" s="34">
        <f t="shared" si="33"/>
        <v>3.6111873460868464E-2</v>
      </c>
      <c r="AC23" s="28">
        <f t="shared" si="42"/>
        <v>19.5</v>
      </c>
      <c r="AD23" s="34">
        <f t="shared" si="43"/>
        <v>-0.77528500000000011</v>
      </c>
      <c r="AE23" s="34">
        <f t="shared" si="44"/>
        <v>-0.80380396047024849</v>
      </c>
      <c r="AF23" s="34">
        <f t="shared" si="45"/>
        <v>0.10709672075163433</v>
      </c>
      <c r="AG23" s="34">
        <f t="shared" si="46"/>
        <v>0.65425811029323022</v>
      </c>
      <c r="AH23" s="34">
        <f t="shared" ref="AH23:AH29" si="47">(AG23-AG22)/5</f>
        <v>0.12919372580292915</v>
      </c>
      <c r="AI23" s="34">
        <f>IF(E8=1,5/AF23*SUMPRODUCT(D$7:D8,E$7:E8),"")</f>
        <v>5.1822315016263509</v>
      </c>
      <c r="AJ23" s="3"/>
      <c r="AL23" s="48">
        <v>45</v>
      </c>
      <c r="AM23" s="39">
        <f t="shared" si="26"/>
        <v>0.99188281925836119</v>
      </c>
      <c r="AN23" s="39">
        <f t="shared" si="34"/>
        <v>4.8097000000000021</v>
      </c>
      <c r="AO23" s="39">
        <f t="shared" si="35"/>
        <v>0.99188381114217239</v>
      </c>
      <c r="AP23" s="39">
        <f t="shared" si="36"/>
        <v>4.8098227023925411</v>
      </c>
      <c r="AQ23" s="39">
        <f t="shared" si="37"/>
        <v>4.8085948977612238</v>
      </c>
      <c r="AR23" s="39"/>
      <c r="AS23" s="39">
        <f t="shared" si="38"/>
        <v>1.2278046313172197E-3</v>
      </c>
      <c r="AT23" s="39">
        <f t="shared" si="39"/>
        <v>4.8085948977612238</v>
      </c>
      <c r="AU23" s="47"/>
      <c r="AW23" s="28">
        <v>19</v>
      </c>
      <c r="AX23" s="34">
        <v>-0.85926999999999998</v>
      </c>
      <c r="AY23" s="34"/>
      <c r="AZ23" s="34"/>
      <c r="BA23" s="34">
        <f t="shared" si="20"/>
        <v>9.4284712703943355E-2</v>
      </c>
      <c r="BB23" s="34"/>
      <c r="BC23" s="34"/>
      <c r="BD23" s="34">
        <f t="shared" si="25"/>
        <v>2.9562198038186455E-2</v>
      </c>
      <c r="BE23" s="3"/>
    </row>
    <row r="24" spans="1:62" ht="18.75" customHeight="1" thickBot="1" x14ac:dyDescent="0.35">
      <c r="A24" s="5"/>
      <c r="B24" s="2"/>
      <c r="F24" s="4"/>
      <c r="G24" s="4"/>
      <c r="H24" s="4"/>
      <c r="I24" s="4"/>
      <c r="J24" s="4"/>
      <c r="K24" s="4"/>
      <c r="L24" s="4"/>
      <c r="N24" s="2"/>
      <c r="O24" s="7">
        <v>6</v>
      </c>
      <c r="P24" s="34">
        <f t="shared" si="27"/>
        <v>0.93506896017356256</v>
      </c>
      <c r="Q24" s="34">
        <f t="shared" si="28"/>
        <v>2.7010497880183735</v>
      </c>
      <c r="R24" s="34">
        <f t="shared" si="29"/>
        <v>0.27048659545151876</v>
      </c>
      <c r="S24" s="34">
        <f t="shared" si="30"/>
        <v>2.4305631925668547</v>
      </c>
      <c r="T24" s="34">
        <f t="shared" si="31"/>
        <v>3.2238040870214846</v>
      </c>
      <c r="U24" s="34"/>
      <c r="V24" s="34" t="e">
        <f t="shared" si="40"/>
        <v>#N/A</v>
      </c>
      <c r="W24" s="34" t="e">
        <f t="shared" si="32"/>
        <v>#N/A</v>
      </c>
      <c r="X24" s="34"/>
      <c r="Y24" s="34">
        <f t="shared" si="24"/>
        <v>0</v>
      </c>
      <c r="Z24" s="34">
        <f t="shared" si="41"/>
        <v>0</v>
      </c>
      <c r="AA24" s="34">
        <f t="shared" si="33"/>
        <v>0</v>
      </c>
      <c r="AC24" s="28">
        <f t="shared" si="42"/>
        <v>24.5</v>
      </c>
      <c r="AD24" s="34">
        <f t="shared" si="43"/>
        <v>-4.1095000000000055E-2</v>
      </c>
      <c r="AE24" s="34">
        <f t="shared" si="44"/>
        <v>-9.4177277993316447E-2</v>
      </c>
      <c r="AF24" s="34">
        <f t="shared" si="45"/>
        <v>0.33328592837787607</v>
      </c>
      <c r="AG24" s="34">
        <f t="shared" si="46"/>
        <v>2.0360569414027223</v>
      </c>
      <c r="AH24" s="34">
        <f t="shared" si="47"/>
        <v>0.27635976622189845</v>
      </c>
      <c r="AI24" s="34">
        <f>IF(E9=1,5/AF24*SUM(D$7:D9),"")</f>
        <v>5.3407595354036506</v>
      </c>
      <c r="AJ24" s="3"/>
      <c r="AL24" s="49">
        <v>50</v>
      </c>
      <c r="AM24" s="40">
        <f t="shared" si="26"/>
        <v>0.99999899999999997</v>
      </c>
      <c r="AN24" s="40">
        <f t="shared" si="34"/>
        <v>13.81551005793531</v>
      </c>
      <c r="AO24" s="40"/>
      <c r="AP24" s="40"/>
      <c r="AQ24" s="40"/>
      <c r="AR24" s="40"/>
      <c r="AS24" s="40"/>
      <c r="AT24" s="40"/>
      <c r="AU24" s="47"/>
      <c r="AW24" s="28">
        <v>19.5</v>
      </c>
      <c r="AX24" s="34">
        <v>-0.775285</v>
      </c>
      <c r="AY24" s="34"/>
      <c r="AZ24" s="34"/>
      <c r="BA24" s="34">
        <f t="shared" si="20"/>
        <v>0.1140394504239105</v>
      </c>
      <c r="BB24" s="34"/>
      <c r="BC24" s="34"/>
      <c r="BD24" s="34">
        <f t="shared" si="25"/>
        <v>3.9891771129902623E-2</v>
      </c>
      <c r="BE24" s="3"/>
    </row>
    <row r="25" spans="1:62" ht="18.75" customHeight="1" x14ac:dyDescent="0.3">
      <c r="A25" s="5"/>
      <c r="B25" s="2"/>
      <c r="F25" s="4"/>
      <c r="G25" s="4"/>
      <c r="H25" s="4"/>
      <c r="I25" s="4"/>
      <c r="J25" s="4"/>
      <c r="K25" s="4"/>
      <c r="L25" s="4"/>
      <c r="M25" s="89"/>
      <c r="N25" s="32"/>
      <c r="O25" s="33">
        <v>7</v>
      </c>
      <c r="P25" s="35" t="e">
        <f>IF(B15=0,NA(),B14/B15)</f>
        <v>#N/A</v>
      </c>
      <c r="Q25" s="35" t="e">
        <f t="shared" si="28"/>
        <v>#N/A</v>
      </c>
      <c r="R25" s="35">
        <f t="shared" si="29"/>
        <v>0</v>
      </c>
      <c r="S25" s="35" t="e">
        <f t="shared" si="30"/>
        <v>#N/A</v>
      </c>
      <c r="T25" s="35">
        <f t="shared" si="31"/>
        <v>6.0922294399695742</v>
      </c>
      <c r="U25" s="35"/>
      <c r="V25" s="35" t="e">
        <f t="shared" si="40"/>
        <v>#N/A</v>
      </c>
      <c r="W25" s="35" t="e">
        <f t="shared" si="32"/>
        <v>#N/A</v>
      </c>
      <c r="X25" s="35"/>
      <c r="Y25" s="35">
        <f t="shared" si="24"/>
        <v>0</v>
      </c>
      <c r="Z25" s="35">
        <f t="shared" si="41"/>
        <v>0</v>
      </c>
      <c r="AA25" s="35">
        <f t="shared" si="33"/>
        <v>0</v>
      </c>
      <c r="AC25" s="28">
        <f t="shared" si="42"/>
        <v>29.5</v>
      </c>
      <c r="AD25" s="34">
        <f t="shared" si="43"/>
        <v>0.63050499999999998</v>
      </c>
      <c r="AE25" s="34">
        <f t="shared" si="44"/>
        <v>0.55495343742300296</v>
      </c>
      <c r="AF25" s="34">
        <f t="shared" si="45"/>
        <v>0.56321209881244783</v>
      </c>
      <c r="AG25" s="34">
        <f t="shared" si="46"/>
        <v>3.4406850263684938</v>
      </c>
      <c r="AH25" s="34">
        <f t="shared" si="47"/>
        <v>0.28092561699315433</v>
      </c>
      <c r="AI25" s="34">
        <f>IF(E10=1,5/AF25*SUM(D$7:D10),"")</f>
        <v>5.202303015467896</v>
      </c>
      <c r="AJ25" s="3"/>
      <c r="AL25" s="47"/>
      <c r="AM25" s="47"/>
      <c r="AN25" s="47"/>
      <c r="AO25" s="47"/>
      <c r="AP25" s="47"/>
      <c r="AQ25" s="47"/>
      <c r="AR25" s="58">
        <f>AVERAGE(AR18:AR20)</f>
        <v>0.95738571925536819</v>
      </c>
      <c r="AS25" s="47"/>
      <c r="AT25" s="47"/>
      <c r="AU25" s="47"/>
      <c r="AW25" s="28">
        <v>20</v>
      </c>
      <c r="AX25" s="34">
        <v>-0.69130000000000003</v>
      </c>
      <c r="AY25" s="34"/>
      <c r="AZ25" s="34"/>
      <c r="BA25" s="34">
        <f t="shared" si="20"/>
        <v>0.13583572213470577</v>
      </c>
      <c r="BB25" s="34"/>
      <c r="BC25" s="34"/>
      <c r="BD25" s="34">
        <f t="shared" si="25"/>
        <v>5.2165107703594352E-2</v>
      </c>
      <c r="BE25" s="3"/>
    </row>
    <row r="26" spans="1:62" ht="18.75" customHeight="1" thickBot="1" x14ac:dyDescent="0.35">
      <c r="A26" s="5"/>
      <c r="B26" s="2"/>
      <c r="F26" s="2"/>
      <c r="G26" s="2"/>
      <c r="H26" s="2"/>
      <c r="I26" s="2"/>
      <c r="J26" s="2"/>
      <c r="K26" s="2"/>
      <c r="L26" s="2"/>
      <c r="AA26" s="7">
        <f>SQRT(SUM(AA6:AA25)/(COUNTIF(AA18:AA25,"&lt;&gt;0")+COUNTIF(AA6:AA13,"&lt;&gt;0")))</f>
        <v>8.1502800335738798E-2</v>
      </c>
      <c r="AC26" s="28">
        <f t="shared" si="42"/>
        <v>34.5</v>
      </c>
      <c r="AD26" s="34">
        <f t="shared" si="43"/>
        <v>1.3924950000000003</v>
      </c>
      <c r="AE26" s="34">
        <f t="shared" si="44"/>
        <v>1.2914500333730943</v>
      </c>
      <c r="AF26" s="34">
        <f t="shared" si="45"/>
        <v>0.75966941505829322</v>
      </c>
      <c r="AG26" s="34">
        <f t="shared" si="46"/>
        <v>4.6408505550438885</v>
      </c>
      <c r="AH26" s="34">
        <f t="shared" si="47"/>
        <v>0.24003310573507894</v>
      </c>
      <c r="AI26" s="34">
        <f>IF(E11=1,5/AF26*SUM(D$7:D11),"")</f>
        <v>5.1403938642183586</v>
      </c>
      <c r="AJ26" s="3"/>
      <c r="AL26" s="47" t="s">
        <v>114</v>
      </c>
      <c r="AM26" s="47"/>
      <c r="AN26" s="47"/>
      <c r="AO26" s="47"/>
      <c r="AP26" s="47"/>
      <c r="AQ26" s="47"/>
      <c r="AR26" s="47"/>
      <c r="AS26" s="47"/>
      <c r="AT26" s="47"/>
      <c r="AU26" s="47"/>
      <c r="AW26" s="28">
        <v>20.5</v>
      </c>
      <c r="AX26" s="34">
        <v>-0.61227500000000001</v>
      </c>
      <c r="AY26" s="34"/>
      <c r="AZ26" s="34"/>
      <c r="BA26" s="34">
        <f t="shared" si="20"/>
        <v>0.15808488450458288</v>
      </c>
      <c r="BB26" s="34"/>
      <c r="BC26" s="34"/>
      <c r="BD26" s="34">
        <f t="shared" si="25"/>
        <v>6.6389140212678707E-2</v>
      </c>
      <c r="BE26" s="3"/>
    </row>
    <row r="27" spans="1:62" ht="18.75" customHeight="1" thickBot="1" x14ac:dyDescent="0.35">
      <c r="F27" s="2"/>
      <c r="G27" s="2"/>
      <c r="H27" s="2"/>
      <c r="I27" s="2"/>
      <c r="J27" s="2"/>
      <c r="K27" s="2"/>
      <c r="L27" s="2"/>
      <c r="AC27" s="28">
        <f t="shared" si="42"/>
        <v>39.5</v>
      </c>
      <c r="AD27" s="34">
        <f t="shared" si="43"/>
        <v>2.4829699999999999</v>
      </c>
      <c r="AE27" s="34">
        <f t="shared" si="44"/>
        <v>2.3454417202307636</v>
      </c>
      <c r="AF27" s="34">
        <f t="shared" si="45"/>
        <v>0.90864129846696706</v>
      </c>
      <c r="AG27" s="34">
        <f t="shared" si="46"/>
        <v>5.5509256931222408</v>
      </c>
      <c r="AH27" s="34">
        <f t="shared" si="47"/>
        <v>0.18201502761567045</v>
      </c>
      <c r="AI27" s="34">
        <f>IF(E12=1,5/AF27*SUM(D$7:D12),"")</f>
        <v>5.106525542949095</v>
      </c>
      <c r="AJ27" s="3"/>
      <c r="AL27" s="42" t="s">
        <v>24</v>
      </c>
      <c r="AM27" s="42" t="s">
        <v>25</v>
      </c>
      <c r="AN27" s="42" t="s">
        <v>26</v>
      </c>
      <c r="AO27" s="42" t="s">
        <v>27</v>
      </c>
      <c r="AP27" s="42" t="s">
        <v>42</v>
      </c>
      <c r="AQ27" s="42" t="s">
        <v>43</v>
      </c>
      <c r="AR27" s="42" t="s">
        <v>44</v>
      </c>
      <c r="AS27" s="42" t="s">
        <v>45</v>
      </c>
      <c r="AT27" s="42" t="s">
        <v>28</v>
      </c>
      <c r="AU27" s="42" t="s">
        <v>29</v>
      </c>
      <c r="AV27" s="9"/>
      <c r="AW27" s="28">
        <v>21</v>
      </c>
      <c r="AX27" s="34">
        <v>-0.53325</v>
      </c>
      <c r="AY27" s="34"/>
      <c r="AZ27" s="34"/>
      <c r="BA27" s="34">
        <f t="shared" si="20"/>
        <v>0.18187005674477622</v>
      </c>
      <c r="BB27" s="34"/>
      <c r="BC27" s="34"/>
      <c r="BD27" s="34">
        <f t="shared" si="25"/>
        <v>8.2487349991762063E-2</v>
      </c>
      <c r="BE27" s="3"/>
    </row>
    <row r="28" spans="1:62" ht="18.75" customHeight="1" x14ac:dyDescent="0.3">
      <c r="G28" s="3"/>
      <c r="H28" s="3"/>
      <c r="I28" s="3"/>
      <c r="AC28" s="28">
        <f t="shared" si="42"/>
        <v>44.5</v>
      </c>
      <c r="AD28" s="34">
        <f t="shared" si="43"/>
        <v>4.5323450000000012</v>
      </c>
      <c r="AE28" s="34">
        <f t="shared" si="44"/>
        <v>4.3262521131824023</v>
      </c>
      <c r="AF28" s="34">
        <f t="shared" si="45"/>
        <v>0.98686997031442314</v>
      </c>
      <c r="AG28" s="34">
        <f t="shared" si="46"/>
        <v>6.0288277488944271</v>
      </c>
      <c r="AH28" s="34">
        <f t="shared" si="47"/>
        <v>9.5580411154437245E-2</v>
      </c>
      <c r="AI28" s="34">
        <f>IF(E13=1,5/AF28*SUM(D$7:D13),"")</f>
        <v>5.0665236053407998</v>
      </c>
      <c r="AJ28" s="3"/>
      <c r="AL28" s="43" t="str">
        <f>"10-14"</f>
        <v>10-14</v>
      </c>
      <c r="AM28" s="38">
        <v>0</v>
      </c>
      <c r="AN28" s="39">
        <f t="shared" ref="AN28:AN36" si="48">AU43</f>
        <v>3.4388210159756218E-4</v>
      </c>
      <c r="AO28" s="39">
        <f>-LN(-LN(AN28))</f>
        <v>-2.0763381921743722</v>
      </c>
      <c r="AP28" s="39">
        <f>AN28/AN29</f>
        <v>6.592186170716322E-3</v>
      </c>
      <c r="AQ28" s="39">
        <f>-LN(-LN(AP28))</f>
        <v>-1.6138024230572872</v>
      </c>
      <c r="AR28" s="39">
        <f t="shared" ref="AR28:AR35" si="49">((AO29*EXP(-AO29))-(AO28*EXP(-AO28)))/LN(AP28)</f>
        <v>-2.6605532578841791</v>
      </c>
      <c r="AS28" s="39"/>
      <c r="AT28" s="39">
        <f>AQ28-AR28</f>
        <v>1.0467508348268919</v>
      </c>
      <c r="AU28" s="52">
        <f>AR28</f>
        <v>-2.6605532578841791</v>
      </c>
      <c r="AV28" s="6"/>
      <c r="AW28" s="28">
        <v>21.5</v>
      </c>
      <c r="AX28" s="34">
        <v>-0.45924500000000001</v>
      </c>
      <c r="AY28" s="34"/>
      <c r="AZ28" s="34"/>
      <c r="BA28" s="34">
        <f t="shared" si="20"/>
        <v>0.20538305950886043</v>
      </c>
      <c r="BB28" s="34"/>
      <c r="BC28" s="34"/>
      <c r="BD28" s="34">
        <f t="shared" si="25"/>
        <v>0.10029567399642535</v>
      </c>
      <c r="BE28" s="3"/>
    </row>
    <row r="29" spans="1:62" ht="18.75" customHeight="1" x14ac:dyDescent="0.3">
      <c r="G29" s="3"/>
      <c r="H29" s="3"/>
      <c r="I29" s="3"/>
      <c r="O29" s="31" t="s">
        <v>93</v>
      </c>
      <c r="P29" s="31"/>
      <c r="Q29" s="31"/>
      <c r="AC29" s="30">
        <f t="shared" si="42"/>
        <v>49.5</v>
      </c>
      <c r="AD29" s="35">
        <f t="shared" si="43"/>
        <v>13.81551005793531</v>
      </c>
      <c r="AE29" s="35">
        <f t="shared" si="44"/>
        <v>13.298836352886578</v>
      </c>
      <c r="AF29" s="35">
        <f t="shared" si="45"/>
        <v>0.99999832355854246</v>
      </c>
      <c r="AG29" s="35">
        <f t="shared" si="46"/>
        <v>6.1090293790141654</v>
      </c>
      <c r="AH29" s="35">
        <f t="shared" si="47"/>
        <v>1.6040326023947671E-2</v>
      </c>
      <c r="AI29" s="35" t="str">
        <f>IF(E14=1,5/AF29*SUM(D$7:D14),"")</f>
        <v/>
      </c>
      <c r="AJ29" s="3"/>
      <c r="AL29" s="43" t="s">
        <v>0</v>
      </c>
      <c r="AM29" s="38">
        <v>1</v>
      </c>
      <c r="AN29" s="39">
        <f t="shared" si="48"/>
        <v>5.2165107703594352E-2</v>
      </c>
      <c r="AO29" s="39">
        <f t="shared" ref="AO29:AO35" si="50">-LN(-LN(AN29))</f>
        <v>-1.0829372216762827</v>
      </c>
      <c r="AP29" s="39">
        <f t="shared" ref="AP29:AP35" si="51">AN29/AN30</f>
        <v>0.20461105460516266</v>
      </c>
      <c r="AQ29" s="39">
        <f t="shared" ref="AQ29:AQ35" si="52">-LN(-LN(AP29))</f>
        <v>-0.46162134371785124</v>
      </c>
      <c r="AR29" s="39">
        <f t="shared" si="49"/>
        <v>-1.746661976392049</v>
      </c>
      <c r="AS29" s="39">
        <f>(AR29^2)+(AO29^2*EXP(-AO29)-AO30^2*EXP(-AO30))/LN(AP29)</f>
        <v>0.95195722711393538</v>
      </c>
      <c r="AT29" s="39">
        <f t="shared" ref="AT29:AT35" si="53">AQ29-AR29</f>
        <v>1.2850406326741979</v>
      </c>
      <c r="AU29" s="52">
        <f t="shared" ref="AU29:AU35" si="54">AR29</f>
        <v>-1.746661976392049</v>
      </c>
      <c r="AV29" s="6"/>
      <c r="AW29" s="28">
        <v>22</v>
      </c>
      <c r="AX29" s="34">
        <v>-0.38524000000000003</v>
      </c>
      <c r="AY29" s="34"/>
      <c r="AZ29" s="34"/>
      <c r="BA29" s="34">
        <f t="shared" si="20"/>
        <v>0.22993305648018619</v>
      </c>
      <c r="BB29" s="34"/>
      <c r="BC29" s="34"/>
      <c r="BD29" s="34">
        <f t="shared" si="25"/>
        <v>0.11956991366115642</v>
      </c>
      <c r="BE29" s="3"/>
    </row>
    <row r="30" spans="1:62" ht="18.75" customHeight="1" x14ac:dyDescent="0.3">
      <c r="O30" s="30"/>
      <c r="P30" s="30" t="s">
        <v>7</v>
      </c>
      <c r="Q30" s="30" t="s">
        <v>57</v>
      </c>
      <c r="AC30" s="7"/>
      <c r="AD30" s="8"/>
      <c r="AE30" s="8"/>
      <c r="AF30" s="8"/>
      <c r="AG30" s="8"/>
      <c r="AH30" s="8"/>
      <c r="AI30" s="34">
        <f>AVERAGE(AI22:AI29)</f>
        <v>5.1731228441676906</v>
      </c>
      <c r="AJ30" s="8" t="s">
        <v>46</v>
      </c>
      <c r="AL30" s="43" t="s">
        <v>1</v>
      </c>
      <c r="AM30" s="38">
        <v>2</v>
      </c>
      <c r="AN30" s="39">
        <f t="shared" si="48"/>
        <v>0.25494765082100379</v>
      </c>
      <c r="AO30" s="39">
        <f t="shared" si="50"/>
        <v>-0.31239691342690196</v>
      </c>
      <c r="AP30" s="39">
        <f t="shared" si="51"/>
        <v>0.51432081242046368</v>
      </c>
      <c r="AQ30" s="39">
        <f t="shared" si="52"/>
        <v>0.40810650420215816</v>
      </c>
      <c r="AR30" s="39">
        <f t="shared" si="49"/>
        <v>-1.0158866417223078</v>
      </c>
      <c r="AS30" s="39">
        <f>(AR30^2)+(AO30^2*EXP(-AO30)-AO31^2*EXP(-AO31))/LN(AP30)</f>
        <v>0.96378736557860156</v>
      </c>
      <c r="AT30" s="39">
        <f t="shared" si="53"/>
        <v>1.4239931459244659</v>
      </c>
      <c r="AU30" s="52">
        <f t="shared" si="54"/>
        <v>-1.0158866417223078</v>
      </c>
      <c r="AV30" s="6"/>
      <c r="AW30" s="28">
        <v>22.5</v>
      </c>
      <c r="AX30" s="34">
        <v>-0.31473499999999999</v>
      </c>
      <c r="AY30" s="34"/>
      <c r="AZ30" s="34"/>
      <c r="BA30" s="34">
        <f t="shared" si="20"/>
        <v>0.25413332697026197</v>
      </c>
      <c r="BB30" s="34"/>
      <c r="BC30" s="34"/>
      <c r="BD30" s="34">
        <f t="shared" si="25"/>
        <v>0.14011135678927106</v>
      </c>
      <c r="BE30" s="3"/>
    </row>
    <row r="31" spans="1:62" ht="18.75" customHeight="1" x14ac:dyDescent="0.3">
      <c r="O31" s="28">
        <v>9</v>
      </c>
      <c r="P31" s="78"/>
      <c r="Q31" s="78"/>
      <c r="AL31" s="43" t="s">
        <v>2</v>
      </c>
      <c r="AM31" s="38">
        <v>3</v>
      </c>
      <c r="AN31" s="39">
        <f t="shared" si="48"/>
        <v>0.49569771369193766</v>
      </c>
      <c r="AO31" s="39">
        <f t="shared" si="50"/>
        <v>0.35412250953269508</v>
      </c>
      <c r="AP31" s="39">
        <f t="shared" si="51"/>
        <v>0.70144871899951622</v>
      </c>
      <c r="AQ31" s="39">
        <f t="shared" si="52"/>
        <v>1.0367437799899193</v>
      </c>
      <c r="AR31" s="39">
        <f t="shared" si="49"/>
        <v>-0.33492430178104132</v>
      </c>
      <c r="AS31" s="39">
        <f>(AR31^2)+(AO31^2*EXP(-AO31)-AO32^2*EXP(-AO32))/LN(AP31)</f>
        <v>0.9597263631556282</v>
      </c>
      <c r="AT31" s="39">
        <f t="shared" si="53"/>
        <v>1.3716680817709606</v>
      </c>
      <c r="AU31" s="52">
        <f t="shared" si="54"/>
        <v>-0.33492430178104132</v>
      </c>
      <c r="AV31" s="6"/>
      <c r="AW31" s="28">
        <v>23</v>
      </c>
      <c r="AX31" s="34">
        <v>-0.24423</v>
      </c>
      <c r="AY31" s="34"/>
      <c r="AZ31" s="34"/>
      <c r="BA31" s="34">
        <f t="shared" si="20"/>
        <v>0.27897365630982895</v>
      </c>
      <c r="BB31" s="34"/>
      <c r="BC31" s="34"/>
      <c r="BD31" s="34">
        <f t="shared" si="25"/>
        <v>0.16171299632016267</v>
      </c>
      <c r="BE31" s="3"/>
    </row>
    <row r="32" spans="1:62" ht="18.75" customHeight="1" x14ac:dyDescent="0.3">
      <c r="O32" s="28">
        <v>9.5</v>
      </c>
      <c r="P32" s="34"/>
      <c r="Q32" s="34"/>
      <c r="AB32" s="90"/>
      <c r="AC32" s="31" t="s">
        <v>107</v>
      </c>
      <c r="AD32" s="31" t="s">
        <v>108</v>
      </c>
      <c r="AE32" s="31"/>
      <c r="AF32" s="31"/>
      <c r="AG32" s="31"/>
      <c r="AH32" s="31"/>
      <c r="AJ32" s="34"/>
      <c r="AL32" s="43" t="s">
        <v>3</v>
      </c>
      <c r="AM32" s="38">
        <v>4</v>
      </c>
      <c r="AN32" s="39">
        <f t="shared" si="48"/>
        <v>0.70667705316927032</v>
      </c>
      <c r="AO32" s="39">
        <f t="shared" si="50"/>
        <v>1.0579075746568081</v>
      </c>
      <c r="AP32" s="39">
        <f t="shared" si="51"/>
        <v>0.81402231912488943</v>
      </c>
      <c r="AQ32" s="39">
        <f t="shared" si="52"/>
        <v>1.5810084161469662</v>
      </c>
      <c r="AR32" s="39">
        <f t="shared" si="49"/>
        <v>0.44064864091055989</v>
      </c>
      <c r="AS32" s="39"/>
      <c r="AT32" s="39">
        <f t="shared" si="53"/>
        <v>1.1403597752364063</v>
      </c>
      <c r="AU32" s="52">
        <f t="shared" si="54"/>
        <v>0.44064864091055989</v>
      </c>
      <c r="AV32" s="6"/>
      <c r="AW32" s="28">
        <v>23.5</v>
      </c>
      <c r="AX32" s="34">
        <v>-0.17602999999999999</v>
      </c>
      <c r="AY32" s="34"/>
      <c r="AZ32" s="34"/>
      <c r="BA32" s="34">
        <f t="shared" si="20"/>
        <v>0.30346960179502924</v>
      </c>
      <c r="BB32" s="34"/>
      <c r="BC32" s="34"/>
      <c r="BD32" s="34">
        <f t="shared" si="25"/>
        <v>0.18417466051876563</v>
      </c>
      <c r="BE32" s="3"/>
    </row>
    <row r="33" spans="2:57" ht="18.75" customHeight="1" x14ac:dyDescent="0.3">
      <c r="O33" s="28">
        <v>10</v>
      </c>
      <c r="P33" s="34" t="e">
        <f>IF($BJ$19=1,$AI$53,$AI$30)*EXP(-EXP(-($K$7+$K$8*AX5)))</f>
        <v>#NUM!</v>
      </c>
      <c r="Q33" s="34"/>
      <c r="AB33" s="90"/>
      <c r="AC33" s="30" t="s">
        <v>33</v>
      </c>
      <c r="AD33" s="30" t="s">
        <v>14</v>
      </c>
      <c r="AE33" s="30" t="s">
        <v>105</v>
      </c>
      <c r="AF33" s="30" t="s">
        <v>67</v>
      </c>
      <c r="AG33" s="30" t="s">
        <v>15</v>
      </c>
      <c r="AH33" s="30" t="s">
        <v>16</v>
      </c>
      <c r="AJ33" s="34"/>
      <c r="AL33" s="43" t="s">
        <v>4</v>
      </c>
      <c r="AM33" s="38">
        <v>5</v>
      </c>
      <c r="AN33" s="39">
        <f t="shared" si="48"/>
        <v>0.8681298246576088</v>
      </c>
      <c r="AO33" s="39">
        <f t="shared" si="50"/>
        <v>1.9560634644574093</v>
      </c>
      <c r="AP33" s="39">
        <f t="shared" si="51"/>
        <v>0.89692470531615764</v>
      </c>
      <c r="AQ33" s="39">
        <f t="shared" si="52"/>
        <v>2.218396888165092</v>
      </c>
      <c r="AR33" s="39">
        <f t="shared" si="49"/>
        <v>1.5161902940480383</v>
      </c>
      <c r="AS33" s="39"/>
      <c r="AT33" s="39">
        <f t="shared" si="53"/>
        <v>0.70220659411705366</v>
      </c>
      <c r="AU33" s="52">
        <f t="shared" si="54"/>
        <v>1.5161902940480383</v>
      </c>
      <c r="AV33" s="6"/>
      <c r="AW33" s="28">
        <v>24</v>
      </c>
      <c r="AX33" s="34">
        <v>-0.10783</v>
      </c>
      <c r="AY33" s="34"/>
      <c r="AZ33" s="34"/>
      <c r="BA33" s="34">
        <f t="shared" si="20"/>
        <v>0.32828984948459988</v>
      </c>
      <c r="BB33" s="34"/>
      <c r="BC33" s="34"/>
      <c r="BD33" s="34">
        <f t="shared" si="25"/>
        <v>0.20730100959664136</v>
      </c>
      <c r="BE33" s="3"/>
    </row>
    <row r="34" spans="2:57" ht="18.75" customHeight="1" x14ac:dyDescent="0.3">
      <c r="B34" s="2"/>
      <c r="C34" s="2"/>
      <c r="D34" s="2"/>
      <c r="E34" s="2"/>
      <c r="F34" s="2"/>
      <c r="O34" s="28">
        <v>10.5</v>
      </c>
      <c r="P34" s="34" t="e">
        <f t="shared" ref="P34:P64" si="55">IF($BJ$19=1,$AI$53,$AI$30)*EXP(-EXP(-($K$7+$K$8*AX6)))</f>
        <v>#NUM!</v>
      </c>
      <c r="Q34" s="34"/>
      <c r="AB34" s="90"/>
      <c r="AC34" s="28">
        <v>15</v>
      </c>
      <c r="AD34" s="34">
        <f t="shared" ref="AD34:AD41" si="56">AN17</f>
        <v>-1.7521</v>
      </c>
      <c r="AE34" s="34">
        <f t="shared" ref="AE34:AE41" si="57">IF($BJ$19=2,AE$18+AE$16*AD34,AH$18+AD34*AH$16)</f>
        <v>-1.7479382960560019</v>
      </c>
      <c r="AF34" s="34">
        <f t="shared" ref="AF34:AF41" si="58">EXP(-EXP(-AE34))</f>
        <v>3.2059378487638984E-3</v>
      </c>
      <c r="AG34" s="34">
        <f t="shared" ref="AG34:AG41" si="59">AF34*IF($BJ$19=1,AI$53,AI$30)</f>
        <v>1.9585201338835609E-2</v>
      </c>
      <c r="AH34" s="34">
        <f>AG34/5</f>
        <v>3.9170402677671219E-3</v>
      </c>
      <c r="AL34" s="43" t="s">
        <v>5</v>
      </c>
      <c r="AM34" s="38">
        <v>6</v>
      </c>
      <c r="AN34" s="39">
        <f t="shared" si="48"/>
        <v>0.9678959889410127</v>
      </c>
      <c r="AO34" s="39">
        <f t="shared" si="50"/>
        <v>3.4225033426535072</v>
      </c>
      <c r="AP34" s="39">
        <f t="shared" si="51"/>
        <v>0.97008626061230185</v>
      </c>
      <c r="AQ34" s="39">
        <f t="shared" si="52"/>
        <v>3.4942906824730033</v>
      </c>
      <c r="AR34" s="39">
        <f t="shared" si="49"/>
        <v>3.2238040870214846</v>
      </c>
      <c r="AS34" s="39"/>
      <c r="AT34" s="39">
        <f t="shared" si="53"/>
        <v>0.27048659545151876</v>
      </c>
      <c r="AU34" s="52">
        <f t="shared" si="54"/>
        <v>3.2238040870214846</v>
      </c>
      <c r="AV34" s="6"/>
      <c r="AW34" s="28">
        <v>24.5</v>
      </c>
      <c r="AX34" s="34">
        <v>-4.1095E-2</v>
      </c>
      <c r="AY34" s="34"/>
      <c r="AZ34" s="34"/>
      <c r="BA34" s="34">
        <f t="shared" si="20"/>
        <v>0.35276573372478942</v>
      </c>
      <c r="BB34" s="34"/>
      <c r="BC34" s="34"/>
      <c r="BD34" s="34">
        <f t="shared" si="25"/>
        <v>0.23093758060071812</v>
      </c>
      <c r="BE34" s="3"/>
    </row>
    <row r="35" spans="2:57" ht="18.75" customHeight="1" x14ac:dyDescent="0.3">
      <c r="B35" s="2"/>
      <c r="C35" s="91"/>
      <c r="D35" s="92"/>
      <c r="E35" s="2"/>
      <c r="F35" s="2"/>
      <c r="O35" s="28">
        <v>11</v>
      </c>
      <c r="P35" s="34">
        <f t="shared" si="55"/>
        <v>9.0751354226743891E-10</v>
      </c>
      <c r="Q35" s="34" t="e">
        <f t="shared" ref="Q35:Q66" si="60">(P36-P34)/2</f>
        <v>#NUM!</v>
      </c>
      <c r="AB35" s="90"/>
      <c r="AC35" s="28">
        <v>20</v>
      </c>
      <c r="AD35" s="34">
        <f t="shared" si="56"/>
        <v>-0.69130000000000003</v>
      </c>
      <c r="AE35" s="34">
        <f t="shared" si="57"/>
        <v>-0.7226287920154546</v>
      </c>
      <c r="AF35" s="34">
        <f t="shared" si="58"/>
        <v>0.12747423756450707</v>
      </c>
      <c r="AG35" s="34">
        <f t="shared" si="59"/>
        <v>0.77874516786968917</v>
      </c>
      <c r="AH35" s="34">
        <f t="shared" ref="AH35:AH41" si="61">(AG35-AG34)/5</f>
        <v>0.15183199330617073</v>
      </c>
      <c r="AL35" s="50" t="s">
        <v>6</v>
      </c>
      <c r="AM35" s="53">
        <v>7</v>
      </c>
      <c r="AN35" s="39">
        <f t="shared" si="48"/>
        <v>0.99774218875143461</v>
      </c>
      <c r="AO35" s="39">
        <f t="shared" si="50"/>
        <v>6.0922294399695751</v>
      </c>
      <c r="AP35" s="54">
        <f t="shared" si="51"/>
        <v>0.99774218875143461</v>
      </c>
      <c r="AQ35" s="39">
        <f t="shared" si="52"/>
        <v>6.0922294399695751</v>
      </c>
      <c r="AR35" s="39">
        <f t="shared" si="49"/>
        <v>6.0922294399695742</v>
      </c>
      <c r="AS35" s="54"/>
      <c r="AT35" s="39">
        <f t="shared" si="53"/>
        <v>0</v>
      </c>
      <c r="AU35" s="52">
        <f t="shared" si="54"/>
        <v>6.0922294399695742</v>
      </c>
      <c r="AV35" s="6"/>
      <c r="AW35" s="28">
        <v>25</v>
      </c>
      <c r="AX35" s="34">
        <v>2.564E-2</v>
      </c>
      <c r="AY35" s="34"/>
      <c r="AZ35" s="34"/>
      <c r="BA35" s="34">
        <f t="shared" si="20"/>
        <v>0.37731084323953967</v>
      </c>
      <c r="BB35" s="34"/>
      <c r="BC35" s="34"/>
      <c r="BD35" s="34">
        <f t="shared" si="25"/>
        <v>0.25494765082100379</v>
      </c>
      <c r="BE35" s="3"/>
    </row>
    <row r="36" spans="2:57" ht="18.75" customHeight="1" thickBot="1" x14ac:dyDescent="0.35">
      <c r="B36" s="2"/>
      <c r="C36" s="91"/>
      <c r="D36" s="92"/>
      <c r="E36" s="2"/>
      <c r="F36" s="2"/>
      <c r="O36" s="28">
        <v>11.5</v>
      </c>
      <c r="P36" s="34">
        <f t="shared" si="55"/>
        <v>6.246443471520313E-8</v>
      </c>
      <c r="Q36" s="34">
        <f t="shared" si="60"/>
        <v>9.7393537670707357E-7</v>
      </c>
      <c r="AB36" s="90"/>
      <c r="AC36" s="28">
        <v>25</v>
      </c>
      <c r="AD36" s="34">
        <f t="shared" si="56"/>
        <v>2.5640000000000027E-2</v>
      </c>
      <c r="AE36" s="34">
        <f t="shared" si="57"/>
        <v>-2.9674987502982721E-2</v>
      </c>
      <c r="AF36" s="34">
        <f t="shared" si="58"/>
        <v>0.35696423732824312</v>
      </c>
      <c r="AG36" s="34">
        <f t="shared" si="59"/>
        <v>2.1807086689260418</v>
      </c>
      <c r="AH36" s="34">
        <f t="shared" si="61"/>
        <v>0.28039270021127055</v>
      </c>
      <c r="AL36" s="51" t="s">
        <v>49</v>
      </c>
      <c r="AM36" s="55">
        <v>8</v>
      </c>
      <c r="AN36" s="55">
        <f t="shared" si="48"/>
        <v>1</v>
      </c>
      <c r="AO36" s="56">
        <v>999999999</v>
      </c>
      <c r="AP36" s="40"/>
      <c r="AQ36" s="40"/>
      <c r="AR36" s="40"/>
      <c r="AS36" s="40"/>
      <c r="AT36" s="40"/>
      <c r="AU36" s="57"/>
      <c r="AV36" s="10"/>
      <c r="AW36" s="28">
        <v>25.5</v>
      </c>
      <c r="AX36" s="34">
        <v>9.2085E-2</v>
      </c>
      <c r="AY36" s="34"/>
      <c r="AZ36" s="34"/>
      <c r="BA36" s="34">
        <f t="shared" si="20"/>
        <v>0.40170888317738856</v>
      </c>
      <c r="BB36" s="34"/>
      <c r="BC36" s="34"/>
      <c r="BD36" s="34">
        <f t="shared" si="25"/>
        <v>0.27920260680988579</v>
      </c>
      <c r="BE36" s="3"/>
    </row>
    <row r="37" spans="2:57" ht="18.75" customHeight="1" x14ac:dyDescent="0.3">
      <c r="B37" s="2"/>
      <c r="C37" s="91"/>
      <c r="D37" s="92"/>
      <c r="E37" s="2"/>
      <c r="F37" s="2"/>
      <c r="O37" s="28">
        <v>12</v>
      </c>
      <c r="P37" s="34">
        <f t="shared" si="55"/>
        <v>1.9487782669564146E-6</v>
      </c>
      <c r="Q37" s="34">
        <f t="shared" si="60"/>
        <v>1.1527539874278666E-5</v>
      </c>
      <c r="AB37" s="90"/>
      <c r="AC37" s="28">
        <v>30</v>
      </c>
      <c r="AD37" s="34">
        <f t="shared" si="56"/>
        <v>0.7</v>
      </c>
      <c r="AE37" s="34">
        <f t="shared" si="57"/>
        <v>0.62212338838765024</v>
      </c>
      <c r="AF37" s="34">
        <f t="shared" si="58"/>
        <v>0.58461405500764896</v>
      </c>
      <c r="AG37" s="34">
        <f t="shared" si="59"/>
        <v>3.5714304247203579</v>
      </c>
      <c r="AH37" s="34">
        <f t="shared" si="61"/>
        <v>0.27814435115886321</v>
      </c>
      <c r="AL37" s="47"/>
      <c r="AM37" s="47"/>
      <c r="AN37" s="47"/>
      <c r="AO37" s="47"/>
      <c r="AP37" s="47"/>
      <c r="AQ37" s="47"/>
      <c r="AR37" s="93"/>
      <c r="AS37" s="58">
        <f>AVERAGE(AS29:AS31)</f>
        <v>0.95849031861605505</v>
      </c>
      <c r="AT37" s="47"/>
      <c r="AU37" s="47"/>
      <c r="AW37" s="28">
        <v>26</v>
      </c>
      <c r="AX37" s="34">
        <v>0.15853</v>
      </c>
      <c r="AY37" s="34"/>
      <c r="AZ37" s="34"/>
      <c r="BA37" s="34">
        <f t="shared" si="20"/>
        <v>0.42596531275486749</v>
      </c>
      <c r="BB37" s="34"/>
      <c r="BC37" s="34"/>
      <c r="BD37" s="34">
        <f t="shared" si="25"/>
        <v>0.30358856954403063</v>
      </c>
      <c r="BE37" s="3"/>
    </row>
    <row r="38" spans="2:57" ht="18.75" customHeight="1" x14ac:dyDescent="0.3">
      <c r="B38" s="2"/>
      <c r="C38" s="91"/>
      <c r="D38" s="92"/>
      <c r="E38" s="2"/>
      <c r="F38" s="2"/>
      <c r="O38" s="28">
        <v>12.5</v>
      </c>
      <c r="P38" s="34">
        <f t="shared" si="55"/>
        <v>2.3117544183272536E-5</v>
      </c>
      <c r="Q38" s="34">
        <f t="shared" si="60"/>
        <v>9.011553165327208E-5</v>
      </c>
      <c r="AB38" s="90"/>
      <c r="AC38" s="28">
        <v>35</v>
      </c>
      <c r="AD38" s="34">
        <f t="shared" si="56"/>
        <v>1.47872</v>
      </c>
      <c r="AE38" s="34">
        <f t="shared" si="57"/>
        <v>1.3747902596041426</v>
      </c>
      <c r="AF38" s="34">
        <f t="shared" si="58"/>
        <v>0.77655125406925984</v>
      </c>
      <c r="AG38" s="34">
        <f t="shared" si="59"/>
        <v>4.743982378428135</v>
      </c>
      <c r="AH38" s="34">
        <f t="shared" si="61"/>
        <v>0.23451039074155541</v>
      </c>
      <c r="AW38" s="28">
        <v>26.5</v>
      </c>
      <c r="AX38" s="34">
        <v>0.22500000000000001</v>
      </c>
      <c r="AY38" s="34"/>
      <c r="AZ38" s="34"/>
      <c r="BA38" s="34">
        <f t="shared" si="20"/>
        <v>0.44999616487262006</v>
      </c>
      <c r="BB38" s="34"/>
      <c r="BC38" s="34"/>
      <c r="BD38" s="34">
        <f t="shared" si="25"/>
        <v>0.32802398761272317</v>
      </c>
      <c r="BE38" s="3"/>
    </row>
    <row r="39" spans="2:57" ht="18.75" customHeight="1" x14ac:dyDescent="0.3">
      <c r="B39" s="2"/>
      <c r="C39" s="91"/>
      <c r="D39" s="92"/>
      <c r="E39" s="2"/>
      <c r="F39" s="2"/>
      <c r="O39" s="28">
        <v>13</v>
      </c>
      <c r="P39" s="34">
        <f t="shared" si="55"/>
        <v>1.8217984157350056E-4</v>
      </c>
      <c r="Q39" s="34">
        <f t="shared" si="60"/>
        <v>4.0760609133115447E-4</v>
      </c>
      <c r="AC39" s="28">
        <v>40</v>
      </c>
      <c r="AD39" s="34">
        <f t="shared" si="56"/>
        <v>2.6260200000000005</v>
      </c>
      <c r="AE39" s="34">
        <f t="shared" si="57"/>
        <v>2.48370578937952</v>
      </c>
      <c r="AF39" s="34">
        <f t="shared" si="58"/>
        <v>0.91995229352823904</v>
      </c>
      <c r="AG39" s="34">
        <f t="shared" si="59"/>
        <v>5.6200250100983951</v>
      </c>
      <c r="AH39" s="34">
        <f t="shared" si="61"/>
        <v>0.17520852633405201</v>
      </c>
      <c r="AL39" s="94"/>
      <c r="AM39" s="94"/>
      <c r="AN39" s="94"/>
      <c r="AO39" s="94"/>
      <c r="AP39" s="94"/>
      <c r="AQ39" s="94"/>
      <c r="AR39" s="94"/>
      <c r="AS39" s="94"/>
      <c r="AT39" s="94"/>
      <c r="AW39" s="28">
        <v>27</v>
      </c>
      <c r="AX39" s="34">
        <v>0.29147000000000001</v>
      </c>
      <c r="AY39" s="34"/>
      <c r="AZ39" s="34"/>
      <c r="BA39" s="34">
        <f t="shared" ref="BA39:BA70" si="62">EXP(-EXP(-AX39))</f>
        <v>0.47370788283757637</v>
      </c>
      <c r="BB39" s="34"/>
      <c r="BC39" s="34"/>
      <c r="BD39" s="34">
        <f t="shared" si="25"/>
        <v>0.35244338419878068</v>
      </c>
      <c r="BE39" s="3"/>
    </row>
    <row r="40" spans="2:57" ht="18.75" customHeight="1" x14ac:dyDescent="0.3">
      <c r="B40" s="2"/>
      <c r="C40" s="91"/>
      <c r="D40" s="92"/>
      <c r="E40" s="2"/>
      <c r="F40" s="2"/>
      <c r="O40" s="28">
        <v>13.5</v>
      </c>
      <c r="P40" s="34">
        <f t="shared" si="55"/>
        <v>8.3832972684558151E-4</v>
      </c>
      <c r="Q40" s="34">
        <f t="shared" si="60"/>
        <v>1.451293252676697E-3</v>
      </c>
      <c r="AC40" s="28">
        <v>45</v>
      </c>
      <c r="AD40" s="34">
        <f t="shared" si="56"/>
        <v>4.8097000000000021</v>
      </c>
      <c r="AE40" s="34">
        <f t="shared" si="57"/>
        <v>4.5943278272596713</v>
      </c>
      <c r="AF40" s="34">
        <f t="shared" si="58"/>
        <v>0.98994191083317229</v>
      </c>
      <c r="AG40" s="34">
        <f t="shared" si="59"/>
        <v>6.0475943552351668</v>
      </c>
      <c r="AH40" s="34">
        <f t="shared" si="61"/>
        <v>8.5513869027354333E-2</v>
      </c>
      <c r="AW40" s="28">
        <v>27.5</v>
      </c>
      <c r="AX40" s="34">
        <v>0.35831000000000002</v>
      </c>
      <c r="AY40" s="34"/>
      <c r="AZ40" s="34"/>
      <c r="BA40" s="34">
        <f t="shared" si="62"/>
        <v>0.49715352560929127</v>
      </c>
      <c r="BB40" s="34"/>
      <c r="BC40" s="34"/>
      <c r="BD40" s="34">
        <f t="shared" si="25"/>
        <v>0.37678313544860165</v>
      </c>
      <c r="BE40" s="3"/>
    </row>
    <row r="41" spans="2:57" ht="18.75" customHeight="1" x14ac:dyDescent="0.3">
      <c r="B41" s="2"/>
      <c r="C41" s="91"/>
      <c r="D41" s="92"/>
      <c r="E41" s="2"/>
      <c r="F41" s="2"/>
      <c r="O41" s="28">
        <v>14</v>
      </c>
      <c r="P41" s="34">
        <f t="shared" si="55"/>
        <v>3.0847663469268948E-3</v>
      </c>
      <c r="Q41" s="34">
        <f t="shared" si="60"/>
        <v>3.7255757758694543E-3</v>
      </c>
      <c r="AC41" s="30">
        <v>50</v>
      </c>
      <c r="AD41" s="35">
        <f t="shared" si="56"/>
        <v>13.81551005793531</v>
      </c>
      <c r="AE41" s="35">
        <f t="shared" si="57"/>
        <v>13.298836352886578</v>
      </c>
      <c r="AF41" s="35">
        <f t="shared" si="58"/>
        <v>0.99999832355854246</v>
      </c>
      <c r="AG41" s="35">
        <f t="shared" si="59"/>
        <v>6.1090293790141654</v>
      </c>
      <c r="AH41" s="35">
        <f t="shared" si="61"/>
        <v>1.2287004755799736E-2</v>
      </c>
      <c r="AL41" s="133" t="s">
        <v>115</v>
      </c>
      <c r="AM41" s="133"/>
      <c r="AN41" s="133"/>
      <c r="AO41" s="133"/>
      <c r="AP41" s="133"/>
      <c r="AQ41" s="133"/>
      <c r="AR41" s="133"/>
      <c r="AS41" s="133"/>
      <c r="AT41" s="133"/>
      <c r="AU41" s="133"/>
      <c r="AW41" s="28">
        <v>28</v>
      </c>
      <c r="AX41" s="34">
        <v>0.42514999999999997</v>
      </c>
      <c r="AY41" s="34"/>
      <c r="AZ41" s="34"/>
      <c r="BA41" s="34">
        <f t="shared" si="62"/>
        <v>0.52013248187634886</v>
      </c>
      <c r="BB41" s="34"/>
      <c r="BC41" s="34"/>
      <c r="BD41" s="34">
        <f t="shared" si="25"/>
        <v>0.40099208665887903</v>
      </c>
      <c r="BE41" s="3"/>
    </row>
    <row r="42" spans="2:57" ht="18.75" customHeight="1" x14ac:dyDescent="0.3">
      <c r="B42" s="2"/>
      <c r="C42" s="2"/>
      <c r="D42" s="2"/>
      <c r="E42" s="2"/>
      <c r="F42" s="2"/>
      <c r="O42" s="28">
        <v>14.5</v>
      </c>
      <c r="P42" s="34">
        <f t="shared" si="55"/>
        <v>8.2894812785844901E-3</v>
      </c>
      <c r="Q42" s="34">
        <f t="shared" si="60"/>
        <v>8.2502174959543564E-3</v>
      </c>
      <c r="AL42" s="134" t="s">
        <v>107</v>
      </c>
      <c r="AM42" s="134"/>
      <c r="AN42" s="134" t="s">
        <v>137</v>
      </c>
      <c r="AO42" s="134"/>
      <c r="AP42" s="134" t="s">
        <v>116</v>
      </c>
      <c r="AQ42" s="134"/>
      <c r="AR42" s="134" t="s">
        <v>117</v>
      </c>
      <c r="AS42" s="134"/>
      <c r="AT42" s="134" t="s">
        <v>87</v>
      </c>
      <c r="AU42" s="134"/>
      <c r="AW42" s="28">
        <v>28.5</v>
      </c>
      <c r="AX42" s="34">
        <v>0.49307999999999996</v>
      </c>
      <c r="AY42" s="34"/>
      <c r="AZ42" s="34"/>
      <c r="BA42" s="34">
        <f t="shared" si="62"/>
        <v>0.54294763089734965</v>
      </c>
      <c r="BB42" s="34"/>
      <c r="BC42" s="34"/>
      <c r="BD42" s="34">
        <f t="shared" si="25"/>
        <v>0.4250239293923212</v>
      </c>
      <c r="BE42" s="3"/>
    </row>
    <row r="43" spans="2:57" ht="18.75" customHeight="1" x14ac:dyDescent="0.3">
      <c r="B43" s="2"/>
      <c r="C43" s="2"/>
      <c r="D43" s="2"/>
      <c r="E43" s="2"/>
      <c r="F43" s="2"/>
      <c r="O43" s="28">
        <v>15</v>
      </c>
      <c r="P43" s="34">
        <f t="shared" si="55"/>
        <v>1.9585201338835609E-2</v>
      </c>
      <c r="Q43" s="34">
        <f t="shared" si="60"/>
        <v>1.5111862965675942E-2</v>
      </c>
      <c r="AC43" s="31" t="s">
        <v>109</v>
      </c>
      <c r="AD43" s="31"/>
      <c r="AE43" s="31"/>
      <c r="AF43" s="31"/>
      <c r="AG43" s="31"/>
      <c r="AH43" s="31"/>
      <c r="AI43" s="31"/>
      <c r="AJ43" s="7"/>
      <c r="AL43" s="95">
        <v>15</v>
      </c>
      <c r="AM43" s="96">
        <f t="shared" ref="AM43:AM51" si="63">VLOOKUP($AL43,$AW$5:$BE$92,5)</f>
        <v>3.1300695963830103E-3</v>
      </c>
      <c r="AN43" s="95">
        <f t="shared" ref="AN43:AN50" si="64">AL43-0.5</f>
        <v>14.5</v>
      </c>
      <c r="AO43" s="96">
        <f t="shared" ref="AO43:AO50" si="65">VLOOKUP($AN43,$AW$5:$BE$92,5)</f>
        <v>1.2783714883985553E-3</v>
      </c>
      <c r="AP43" s="95">
        <f t="shared" ref="AP43:AP50" si="66">AN43-0.5</f>
        <v>14</v>
      </c>
      <c r="AQ43" s="96">
        <f t="shared" ref="AQ43:AQ50" si="67">VLOOKUP($AP43,$AW$5:$BE$92,5)</f>
        <v>4.5432980513205316E-4</v>
      </c>
      <c r="AR43" s="95">
        <f t="shared" ref="AR43:AR50" si="68">AP43-0.5</f>
        <v>13.5</v>
      </c>
      <c r="AS43" s="96">
        <f t="shared" ref="AS43:AS50" si="69">VLOOKUP($AR43,$AW$5:$BE$92,5)</f>
        <v>1.1538761379165061E-4</v>
      </c>
      <c r="AT43" s="97" t="s">
        <v>17</v>
      </c>
      <c r="AU43" s="96">
        <f t="shared" ref="AU43:AU50" si="70">VLOOKUP($AL43,$AW$5:$BE$92,8)</f>
        <v>3.4388210159756218E-4</v>
      </c>
      <c r="AW43" s="28">
        <v>29</v>
      </c>
      <c r="AX43" s="34">
        <v>0.56101000000000001</v>
      </c>
      <c r="AY43" s="34"/>
      <c r="AZ43" s="34"/>
      <c r="BA43" s="34">
        <f t="shared" si="62"/>
        <v>0.56516789429087777</v>
      </c>
      <c r="BB43" s="34"/>
      <c r="BC43" s="34"/>
      <c r="BD43" s="34">
        <f t="shared" si="25"/>
        <v>0.44884173308775105</v>
      </c>
      <c r="BE43" s="3"/>
    </row>
    <row r="44" spans="2:57" ht="18.75" customHeight="1" x14ac:dyDescent="0.3">
      <c r="O44" s="28">
        <v>15.5</v>
      </c>
      <c r="P44" s="34">
        <f t="shared" si="55"/>
        <v>3.8513207209936375E-2</v>
      </c>
      <c r="Q44" s="34">
        <f t="shared" si="60"/>
        <v>2.5176092078648238E-2</v>
      </c>
      <c r="AC44" s="30" t="s">
        <v>48</v>
      </c>
      <c r="AD44" s="30" t="s">
        <v>27</v>
      </c>
      <c r="AE44" s="30" t="s">
        <v>110</v>
      </c>
      <c r="AF44" s="30" t="s">
        <v>13</v>
      </c>
      <c r="AG44" s="30" t="s">
        <v>15</v>
      </c>
      <c r="AH44" s="30"/>
      <c r="AI44" s="30" t="s">
        <v>106</v>
      </c>
      <c r="AJ44" s="7"/>
      <c r="AL44" s="95">
        <v>20</v>
      </c>
      <c r="AM44" s="96">
        <f t="shared" si="63"/>
        <v>0.13583572213470577</v>
      </c>
      <c r="AN44" s="95">
        <f t="shared" si="64"/>
        <v>19.5</v>
      </c>
      <c r="AO44" s="96">
        <f t="shared" si="65"/>
        <v>0.1140394504239105</v>
      </c>
      <c r="AP44" s="95">
        <f t="shared" si="66"/>
        <v>19</v>
      </c>
      <c r="AQ44" s="96">
        <f t="shared" si="67"/>
        <v>9.4284712703943355E-2</v>
      </c>
      <c r="AR44" s="95">
        <f t="shared" si="68"/>
        <v>18.5</v>
      </c>
      <c r="AS44" s="96">
        <f t="shared" si="69"/>
        <v>7.4947757018170039E-2</v>
      </c>
      <c r="AT44" s="97" t="s">
        <v>0</v>
      </c>
      <c r="AU44" s="96">
        <f t="shared" si="70"/>
        <v>5.2165107703594352E-2</v>
      </c>
      <c r="AW44" s="28">
        <v>29.5</v>
      </c>
      <c r="AX44" s="34">
        <v>0.63050499999999998</v>
      </c>
      <c r="AY44" s="34"/>
      <c r="AZ44" s="34"/>
      <c r="BA44" s="34">
        <f t="shared" si="62"/>
        <v>0.58723928008108417</v>
      </c>
      <c r="BB44" s="34"/>
      <c r="BC44" s="34"/>
      <c r="BD44" s="34">
        <f t="shared" si="25"/>
        <v>0.47240931264587965</v>
      </c>
      <c r="BE44" s="3"/>
    </row>
    <row r="45" spans="2:57" ht="16.5" x14ac:dyDescent="0.3">
      <c r="O45" s="28">
        <v>16</v>
      </c>
      <c r="P45" s="34">
        <f t="shared" si="55"/>
        <v>6.9937385496132085E-2</v>
      </c>
      <c r="Q45" s="34">
        <f t="shared" si="60"/>
        <v>3.8042655449890772E-2</v>
      </c>
      <c r="AC45" s="28">
        <f>AM28</f>
        <v>0</v>
      </c>
      <c r="AD45" s="34">
        <f t="shared" ref="AD45:AD52" si="71">AO28</f>
        <v>-2.0763381921743722</v>
      </c>
      <c r="AE45" s="34">
        <f t="shared" ref="AE45:AE52" si="72">AH$18+AD45*AH$16</f>
        <v>-2.061328661826467</v>
      </c>
      <c r="AF45" s="34">
        <f t="shared" ref="AF45:AF52" si="73">EXP(-EXP(-AE45))</f>
        <v>3.8726498659045144E-4</v>
      </c>
      <c r="AG45" s="34">
        <f t="shared" ref="AG45:AG52" si="74">IF($BJ$19=1,$AI$53*AF45,"n/a")</f>
        <v>2.3658171466985406E-3</v>
      </c>
      <c r="AH45" s="34"/>
      <c r="AI45" s="34" t="str">
        <f t="shared" ref="AI45:AI52" si="75">IF(C7=1,B7/AF45,"")</f>
        <v/>
      </c>
      <c r="AL45" s="95">
        <v>25</v>
      </c>
      <c r="AM45" s="96">
        <f t="shared" si="63"/>
        <v>0.37731084323953967</v>
      </c>
      <c r="AN45" s="95">
        <f t="shared" si="64"/>
        <v>24.5</v>
      </c>
      <c r="AO45" s="96">
        <f t="shared" si="65"/>
        <v>0.35276573372478942</v>
      </c>
      <c r="AP45" s="95">
        <f t="shared" si="66"/>
        <v>24</v>
      </c>
      <c r="AQ45" s="96">
        <f t="shared" si="67"/>
        <v>0.32828984948459988</v>
      </c>
      <c r="AR45" s="95">
        <f t="shared" si="68"/>
        <v>23.5</v>
      </c>
      <c r="AS45" s="96">
        <f t="shared" si="69"/>
        <v>0.30346960179502924</v>
      </c>
      <c r="AT45" s="97" t="s">
        <v>1</v>
      </c>
      <c r="AU45" s="96">
        <f t="shared" si="70"/>
        <v>0.25494765082100379</v>
      </c>
      <c r="AW45" s="28">
        <v>30</v>
      </c>
      <c r="AX45" s="34">
        <v>0.7</v>
      </c>
      <c r="AY45" s="34"/>
      <c r="AZ45" s="34"/>
      <c r="BA45" s="34">
        <f t="shared" si="62"/>
        <v>0.60860531780440641</v>
      </c>
      <c r="BB45" s="34"/>
      <c r="BC45" s="34"/>
      <c r="BD45" s="34">
        <f t="shared" si="25"/>
        <v>0.49569771369193766</v>
      </c>
      <c r="BE45" s="3"/>
    </row>
    <row r="46" spans="2:57" ht="16.5" x14ac:dyDescent="0.3">
      <c r="O46" s="28">
        <v>16.5</v>
      </c>
      <c r="P46" s="34">
        <f t="shared" si="55"/>
        <v>0.11459851810971791</v>
      </c>
      <c r="Q46" s="34">
        <f t="shared" si="60"/>
        <v>5.3935889139929312E-2</v>
      </c>
      <c r="AC46" s="28">
        <f t="shared" ref="AC46:AC52" si="76">AM29</f>
        <v>1</v>
      </c>
      <c r="AD46" s="34">
        <f t="shared" si="71"/>
        <v>-1.0829372216762827</v>
      </c>
      <c r="AE46" s="34">
        <f t="shared" si="72"/>
        <v>-1.1011632617748128</v>
      </c>
      <c r="AF46" s="34">
        <f t="shared" si="73"/>
        <v>4.9407023498008434E-2</v>
      </c>
      <c r="AG46" s="34">
        <f t="shared" si="74"/>
        <v>0.30182946407840344</v>
      </c>
      <c r="AH46" s="34"/>
      <c r="AI46" s="34">
        <f t="shared" si="75"/>
        <v>5.7279305645969041</v>
      </c>
      <c r="AL46" s="95">
        <v>30</v>
      </c>
      <c r="AM46" s="96">
        <f t="shared" si="63"/>
        <v>0.60860531780440641</v>
      </c>
      <c r="AN46" s="95">
        <f t="shared" si="64"/>
        <v>29.5</v>
      </c>
      <c r="AO46" s="96">
        <f t="shared" si="65"/>
        <v>0.58723928008108417</v>
      </c>
      <c r="AP46" s="95">
        <f t="shared" si="66"/>
        <v>29</v>
      </c>
      <c r="AQ46" s="96">
        <f t="shared" si="67"/>
        <v>0.56516789429087777</v>
      </c>
      <c r="AR46" s="95">
        <f t="shared" si="68"/>
        <v>28.5</v>
      </c>
      <c r="AS46" s="96">
        <f t="shared" si="69"/>
        <v>0.54294763089734965</v>
      </c>
      <c r="AT46" s="97" t="s">
        <v>2</v>
      </c>
      <c r="AU46" s="96">
        <f t="shared" si="70"/>
        <v>0.49569771369193766</v>
      </c>
      <c r="AW46" s="28">
        <v>30.5</v>
      </c>
      <c r="AX46" s="34">
        <v>0.77136000000000005</v>
      </c>
      <c r="AY46" s="34"/>
      <c r="AZ46" s="34"/>
      <c r="BA46" s="34">
        <f t="shared" si="62"/>
        <v>0.62978058468408038</v>
      </c>
      <c r="BB46" s="34"/>
      <c r="BC46" s="34"/>
      <c r="BD46" s="34">
        <f t="shared" si="25"/>
        <v>0.51866602249551563</v>
      </c>
      <c r="BE46" s="3"/>
    </row>
    <row r="47" spans="2:57" ht="16.5" x14ac:dyDescent="0.3">
      <c r="O47" s="28">
        <v>17</v>
      </c>
      <c r="P47" s="34">
        <f t="shared" si="55"/>
        <v>0.17780916377599071</v>
      </c>
      <c r="Q47" s="34">
        <f t="shared" si="60"/>
        <v>6.6967417274923682E-2</v>
      </c>
      <c r="AC47" s="28">
        <f t="shared" si="76"/>
        <v>2</v>
      </c>
      <c r="AD47" s="34">
        <f t="shared" si="71"/>
        <v>-0.31239691342690196</v>
      </c>
      <c r="AE47" s="34">
        <f t="shared" si="72"/>
        <v>-0.35640241967976849</v>
      </c>
      <c r="AF47" s="34">
        <f t="shared" si="73"/>
        <v>0.23974434291910282</v>
      </c>
      <c r="AG47" s="34">
        <f t="shared" si="74"/>
        <v>1.4646076896742959</v>
      </c>
      <c r="AH47" s="34"/>
      <c r="AI47" s="34">
        <f t="shared" si="75"/>
        <v>6.3901403526211435</v>
      </c>
      <c r="AL47" s="95">
        <v>35</v>
      </c>
      <c r="AM47" s="96">
        <f t="shared" si="63"/>
        <v>0.79618058667567304</v>
      </c>
      <c r="AN47" s="95">
        <f t="shared" si="64"/>
        <v>34.5</v>
      </c>
      <c r="AO47" s="96">
        <f t="shared" si="65"/>
        <v>0.78000524391569137</v>
      </c>
      <c r="AP47" s="95">
        <f t="shared" si="66"/>
        <v>34</v>
      </c>
      <c r="AQ47" s="96">
        <f t="shared" si="67"/>
        <v>0.76274739968650018</v>
      </c>
      <c r="AR47" s="95">
        <f t="shared" si="68"/>
        <v>33.5</v>
      </c>
      <c r="AS47" s="96">
        <f t="shared" si="69"/>
        <v>0.74549431857979753</v>
      </c>
      <c r="AT47" s="97" t="s">
        <v>3</v>
      </c>
      <c r="AU47" s="96">
        <f t="shared" si="70"/>
        <v>0.70667705316927032</v>
      </c>
      <c r="AW47" s="28">
        <v>31</v>
      </c>
      <c r="AX47" s="34">
        <v>0.84272000000000002</v>
      </c>
      <c r="AY47" s="34"/>
      <c r="AZ47" s="34"/>
      <c r="BA47" s="34">
        <f t="shared" si="62"/>
        <v>0.65015930185545556</v>
      </c>
      <c r="BB47" s="34"/>
      <c r="BC47" s="34"/>
      <c r="BD47" s="34">
        <f t="shared" ref="BD47:BD78" si="77">0.2*(0.25*(BA37+BA47)+0.5*SUM(BA38:BA46))</f>
        <v>0.54127930702587967</v>
      </c>
      <c r="BE47" s="3"/>
    </row>
    <row r="48" spans="2:57" ht="16.5" x14ac:dyDescent="0.3">
      <c r="O48" s="28">
        <v>17.5</v>
      </c>
      <c r="P48" s="34">
        <f t="shared" si="55"/>
        <v>0.24853335265956528</v>
      </c>
      <c r="Q48" s="34">
        <f t="shared" si="60"/>
        <v>7.9368958368011833E-2</v>
      </c>
      <c r="AC48" s="28">
        <f t="shared" si="76"/>
        <v>3</v>
      </c>
      <c r="AD48" s="34">
        <f t="shared" si="71"/>
        <v>0.35412250953269508</v>
      </c>
      <c r="AE48" s="34">
        <f t="shared" si="72"/>
        <v>0.28781769625923631</v>
      </c>
      <c r="AF48" s="34">
        <f t="shared" si="73"/>
        <v>0.47241460003915298</v>
      </c>
      <c r="AG48" s="34">
        <f t="shared" si="74"/>
        <v>2.8859995089236352</v>
      </c>
      <c r="AH48" s="34"/>
      <c r="AI48" s="34">
        <f t="shared" si="75"/>
        <v>6.0307196258622815</v>
      </c>
      <c r="AL48" s="95">
        <v>40</v>
      </c>
      <c r="AM48" s="96">
        <f t="shared" si="63"/>
        <v>0.9301904711169463</v>
      </c>
      <c r="AN48" s="95">
        <f t="shared" si="64"/>
        <v>39.5</v>
      </c>
      <c r="AO48" s="96">
        <f t="shared" si="65"/>
        <v>0.91989579910861818</v>
      </c>
      <c r="AP48" s="95">
        <f t="shared" si="66"/>
        <v>39</v>
      </c>
      <c r="AQ48" s="96">
        <f t="shared" si="67"/>
        <v>0.90815941850597914</v>
      </c>
      <c r="AR48" s="95">
        <f t="shared" si="68"/>
        <v>38.5</v>
      </c>
      <c r="AS48" s="96">
        <f t="shared" si="69"/>
        <v>0.89653696923966519</v>
      </c>
      <c r="AT48" s="97" t="s">
        <v>4</v>
      </c>
      <c r="AU48" s="96">
        <f t="shared" si="70"/>
        <v>0.8681298246576088</v>
      </c>
      <c r="AW48" s="28">
        <v>31.5</v>
      </c>
      <c r="AX48" s="34">
        <v>0.91643000000000008</v>
      </c>
      <c r="AY48" s="34"/>
      <c r="AZ48" s="34"/>
      <c r="BA48" s="34">
        <f t="shared" si="62"/>
        <v>0.6703573861620935</v>
      </c>
      <c r="BB48" s="34"/>
      <c r="BC48" s="34"/>
      <c r="BD48" s="34">
        <f t="shared" si="77"/>
        <v>0.56350706754538271</v>
      </c>
      <c r="BE48" s="3"/>
    </row>
    <row r="49" spans="15:57" ht="16.5" x14ac:dyDescent="0.3">
      <c r="O49" s="28">
        <v>18</v>
      </c>
      <c r="P49" s="34">
        <f t="shared" si="55"/>
        <v>0.33654708051201437</v>
      </c>
      <c r="Q49" s="34">
        <f t="shared" si="60"/>
        <v>9.149534852077526E-2</v>
      </c>
      <c r="AC49" s="28">
        <f t="shared" si="76"/>
        <v>4</v>
      </c>
      <c r="AD49" s="34">
        <f t="shared" si="71"/>
        <v>1.0579075746568081</v>
      </c>
      <c r="AE49" s="34">
        <f t="shared" si="72"/>
        <v>0.96805668199976092</v>
      </c>
      <c r="AF49" s="34">
        <f t="shared" si="73"/>
        <v>0.68398421900250383</v>
      </c>
      <c r="AG49" s="34">
        <f t="shared" si="74"/>
        <v>4.1784866936566782</v>
      </c>
      <c r="AH49" s="34"/>
      <c r="AI49" s="34">
        <f t="shared" si="75"/>
        <v>6.1185622178582451</v>
      </c>
      <c r="AL49" s="95">
        <v>45</v>
      </c>
      <c r="AM49" s="96">
        <f t="shared" si="63"/>
        <v>0.99188281925836119</v>
      </c>
      <c r="AN49" s="95">
        <f t="shared" si="64"/>
        <v>44.5</v>
      </c>
      <c r="AO49" s="96">
        <f t="shared" si="65"/>
        <v>0.9893022077709992</v>
      </c>
      <c r="AP49" s="95">
        <f t="shared" si="66"/>
        <v>44</v>
      </c>
      <c r="AQ49" s="96">
        <f t="shared" si="67"/>
        <v>0.98590701640310585</v>
      </c>
      <c r="AR49" s="95">
        <f t="shared" si="68"/>
        <v>43.5</v>
      </c>
      <c r="AS49" s="96">
        <f t="shared" si="69"/>
        <v>0.98198393453897526</v>
      </c>
      <c r="AT49" s="97" t="s">
        <v>5</v>
      </c>
      <c r="AU49" s="96">
        <f t="shared" si="70"/>
        <v>0.9678959889410127</v>
      </c>
      <c r="AW49" s="28">
        <v>32</v>
      </c>
      <c r="AX49" s="34">
        <v>0.99014000000000002</v>
      </c>
      <c r="AY49" s="34"/>
      <c r="AZ49" s="34"/>
      <c r="BA49" s="34">
        <f t="shared" si="62"/>
        <v>0.68968198845643669</v>
      </c>
      <c r="BB49" s="34"/>
      <c r="BC49" s="34"/>
      <c r="BD49" s="34">
        <f t="shared" si="77"/>
        <v>0.58532383389079945</v>
      </c>
      <c r="BE49" s="3"/>
    </row>
    <row r="50" spans="15:57" ht="16.5" x14ac:dyDescent="0.3">
      <c r="O50" s="28">
        <v>18.5</v>
      </c>
      <c r="P50" s="34">
        <f t="shared" si="55"/>
        <v>0.4315240497011158</v>
      </c>
      <c r="Q50" s="34">
        <f t="shared" si="60"/>
        <v>0.10254360596034914</v>
      </c>
      <c r="AC50" s="28">
        <f t="shared" si="76"/>
        <v>5</v>
      </c>
      <c r="AD50" s="34">
        <f t="shared" si="71"/>
        <v>1.9560634644574093</v>
      </c>
      <c r="AE50" s="34">
        <f t="shared" si="72"/>
        <v>1.8361635540986967</v>
      </c>
      <c r="AF50" s="34">
        <f t="shared" si="73"/>
        <v>0.85263144772656707</v>
      </c>
      <c r="AG50" s="34">
        <f t="shared" si="74"/>
        <v>5.2087592958130049</v>
      </c>
      <c r="AH50" s="34"/>
      <c r="AI50" s="34">
        <f t="shared" si="75"/>
        <v>6.1151861263180782</v>
      </c>
      <c r="AL50" s="95">
        <v>50</v>
      </c>
      <c r="AM50" s="96">
        <f t="shared" si="63"/>
        <v>0.99999899999999997</v>
      </c>
      <c r="AN50" s="95">
        <f t="shared" si="64"/>
        <v>49.5</v>
      </c>
      <c r="AO50" s="96">
        <f t="shared" si="65"/>
        <v>0.99999899999999997</v>
      </c>
      <c r="AP50" s="95">
        <f t="shared" si="66"/>
        <v>49</v>
      </c>
      <c r="AQ50" s="96">
        <f t="shared" si="67"/>
        <v>0.99982460635378612</v>
      </c>
      <c r="AR50" s="95">
        <f t="shared" si="68"/>
        <v>48.5</v>
      </c>
      <c r="AS50" s="96">
        <f t="shared" si="69"/>
        <v>0.9996139323963561</v>
      </c>
      <c r="AT50" s="97" t="s">
        <v>6</v>
      </c>
      <c r="AU50" s="96">
        <f t="shared" si="70"/>
        <v>0.99774218875143461</v>
      </c>
      <c r="AW50" s="28">
        <v>32.5</v>
      </c>
      <c r="AX50" s="34">
        <v>1.067105</v>
      </c>
      <c r="AY50" s="34"/>
      <c r="AZ50" s="34"/>
      <c r="BA50" s="34">
        <f t="shared" si="62"/>
        <v>0.70892682547846753</v>
      </c>
      <c r="BB50" s="34"/>
      <c r="BC50" s="34"/>
      <c r="BD50" s="34">
        <f t="shared" si="77"/>
        <v>0.60671120416520141</v>
      </c>
      <c r="BE50" s="3"/>
    </row>
    <row r="51" spans="15:57" ht="16.5" x14ac:dyDescent="0.3">
      <c r="O51" s="28">
        <v>19</v>
      </c>
      <c r="P51" s="34">
        <f t="shared" si="55"/>
        <v>0.54163429243271266</v>
      </c>
      <c r="Q51" s="34">
        <f t="shared" si="60"/>
        <v>0.11136703029605721</v>
      </c>
      <c r="AC51" s="28">
        <f t="shared" si="76"/>
        <v>6</v>
      </c>
      <c r="AD51" s="34">
        <f t="shared" si="71"/>
        <v>3.4225033426535072</v>
      </c>
      <c r="AE51" s="34">
        <f t="shared" si="72"/>
        <v>3.2535417066425523</v>
      </c>
      <c r="AF51" s="34">
        <f t="shared" si="73"/>
        <v>0.96209976885909532</v>
      </c>
      <c r="AG51" s="34">
        <f t="shared" si="74"/>
        <v>5.8775056067970173</v>
      </c>
      <c r="AH51" s="34"/>
      <c r="AI51" s="34">
        <f t="shared" si="75"/>
        <v>6.2716988355120495</v>
      </c>
      <c r="AL51" s="98">
        <v>55</v>
      </c>
      <c r="AM51" s="99">
        <f t="shared" si="63"/>
        <v>1</v>
      </c>
      <c r="AN51" s="98"/>
      <c r="AO51" s="99"/>
      <c r="AP51" s="98"/>
      <c r="AQ51" s="99"/>
      <c r="AR51" s="98"/>
      <c r="AS51" s="99"/>
      <c r="AT51" s="100" t="s">
        <v>49</v>
      </c>
      <c r="AU51" s="99">
        <v>1</v>
      </c>
      <c r="AW51" s="28">
        <v>33</v>
      </c>
      <c r="AX51" s="34">
        <v>1.1440699999999999</v>
      </c>
      <c r="AY51" s="34"/>
      <c r="AZ51" s="34"/>
      <c r="BA51" s="34">
        <f t="shared" si="62"/>
        <v>0.72722453063414172</v>
      </c>
      <c r="BB51" s="34"/>
      <c r="BC51" s="34"/>
      <c r="BD51" s="34">
        <f t="shared" si="77"/>
        <v>0.62765447159654986</v>
      </c>
      <c r="BE51" s="3"/>
    </row>
    <row r="52" spans="15:57" ht="16.5" x14ac:dyDescent="0.3">
      <c r="O52" s="28">
        <v>19.5</v>
      </c>
      <c r="P52" s="34">
        <f t="shared" si="55"/>
        <v>0.65425811029323022</v>
      </c>
      <c r="Q52" s="34">
        <f t="shared" si="60"/>
        <v>0.11855543771848825</v>
      </c>
      <c r="AC52" s="30">
        <f t="shared" si="76"/>
        <v>7</v>
      </c>
      <c r="AD52" s="35">
        <f t="shared" si="71"/>
        <v>6.0922294399695751</v>
      </c>
      <c r="AE52" s="35">
        <f t="shared" si="72"/>
        <v>5.8339485135460629</v>
      </c>
      <c r="AF52" s="35">
        <f t="shared" si="73"/>
        <v>0.99707777920665652</v>
      </c>
      <c r="AG52" s="35">
        <f t="shared" si="74"/>
        <v>6.0911876578551798</v>
      </c>
      <c r="AH52" s="35"/>
      <c r="AI52" s="35" t="str">
        <f t="shared" si="75"/>
        <v/>
      </c>
      <c r="AW52" s="28">
        <v>33.5</v>
      </c>
      <c r="AX52" s="34">
        <v>1.2251699999999999</v>
      </c>
      <c r="AY52" s="34"/>
      <c r="AZ52" s="34"/>
      <c r="BA52" s="34">
        <f t="shared" si="62"/>
        <v>0.74549431857979753</v>
      </c>
      <c r="BB52" s="34"/>
      <c r="BC52" s="34"/>
      <c r="BD52" s="34">
        <f t="shared" si="77"/>
        <v>0.64813640841856179</v>
      </c>
      <c r="BE52" s="3"/>
    </row>
    <row r="53" spans="15:57" ht="16.5" x14ac:dyDescent="0.3">
      <c r="O53" s="28">
        <v>20</v>
      </c>
      <c r="P53" s="34">
        <f t="shared" si="55"/>
        <v>0.77874516786968917</v>
      </c>
      <c r="Q53" s="34">
        <f t="shared" si="60"/>
        <v>0.1259248445202612</v>
      </c>
      <c r="AC53" s="7"/>
      <c r="AD53" s="8"/>
      <c r="AE53" s="8"/>
      <c r="AF53" s="8"/>
      <c r="AG53" s="8"/>
      <c r="AH53" s="8"/>
      <c r="AI53" s="8">
        <f>AVERAGE(AI45:AI52)</f>
        <v>6.1090396204614512</v>
      </c>
      <c r="AJ53" s="7" t="s">
        <v>47</v>
      </c>
      <c r="AW53" s="28">
        <v>34</v>
      </c>
      <c r="AX53" s="34">
        <v>1.30627</v>
      </c>
      <c r="AY53" s="34"/>
      <c r="AZ53" s="34"/>
      <c r="BA53" s="34">
        <f t="shared" si="62"/>
        <v>0.76274739968650018</v>
      </c>
      <c r="BB53" s="34"/>
      <c r="BC53" s="34"/>
      <c r="BD53" s="34">
        <f t="shared" si="77"/>
        <v>0.66814271807246539</v>
      </c>
      <c r="BE53" s="3"/>
    </row>
    <row r="54" spans="15:57" ht="16.5" x14ac:dyDescent="0.3">
      <c r="O54" s="28">
        <v>20.5</v>
      </c>
      <c r="P54" s="34">
        <f t="shared" si="55"/>
        <v>0.90610779933375263</v>
      </c>
      <c r="Q54" s="34">
        <f t="shared" si="60"/>
        <v>0.13193829149493891</v>
      </c>
      <c r="AC54" s="7"/>
      <c r="AD54" s="7"/>
      <c r="AE54" s="7"/>
      <c r="AF54" s="7"/>
      <c r="AG54" s="7"/>
      <c r="AH54" s="7"/>
      <c r="AI54" s="7"/>
      <c r="AJ54" s="7"/>
      <c r="AW54" s="28">
        <v>34.5</v>
      </c>
      <c r="AX54" s="34">
        <v>1.392495</v>
      </c>
      <c r="AY54" s="34"/>
      <c r="AZ54" s="34"/>
      <c r="BA54" s="34">
        <f t="shared" si="62"/>
        <v>0.78000524391569137</v>
      </c>
      <c r="BB54" s="34"/>
      <c r="BC54" s="34"/>
      <c r="BD54" s="34">
        <f t="shared" si="77"/>
        <v>0.68765999153397683</v>
      </c>
      <c r="BE54" s="3"/>
    </row>
    <row r="55" spans="15:57" ht="16.5" x14ac:dyDescent="0.3">
      <c r="O55" s="28">
        <v>21</v>
      </c>
      <c r="P55" s="34">
        <f t="shared" si="55"/>
        <v>1.042621750859567</v>
      </c>
      <c r="Q55" s="34">
        <f t="shared" si="60"/>
        <v>0.13592780422782841</v>
      </c>
      <c r="AC55" s="31" t="s">
        <v>88</v>
      </c>
      <c r="AD55" s="31"/>
      <c r="AE55" s="31"/>
      <c r="AF55" s="31"/>
      <c r="AG55" s="31"/>
      <c r="AW55" s="28">
        <v>35</v>
      </c>
      <c r="AX55" s="34">
        <v>1.47872</v>
      </c>
      <c r="AY55" s="34"/>
      <c r="AZ55" s="34"/>
      <c r="BA55" s="34">
        <f t="shared" si="62"/>
        <v>0.79618058667567304</v>
      </c>
      <c r="BB55" s="34"/>
      <c r="BC55" s="34"/>
      <c r="BD55" s="34">
        <f t="shared" si="77"/>
        <v>0.70667705316927032</v>
      </c>
      <c r="BE55" s="3"/>
    </row>
    <row r="56" spans="15:57" ht="16.5" x14ac:dyDescent="0.3">
      <c r="O56" s="28">
        <v>21.5</v>
      </c>
      <c r="P56" s="34">
        <f t="shared" si="55"/>
        <v>1.1779634077894094</v>
      </c>
      <c r="Q56" s="34">
        <f t="shared" si="60"/>
        <v>0.13854311174147937</v>
      </c>
      <c r="AC56" s="30"/>
      <c r="AD56" s="30"/>
      <c r="AE56" s="30" t="s">
        <v>39</v>
      </c>
      <c r="AF56" s="30" t="s">
        <v>38</v>
      </c>
      <c r="AG56" s="30" t="s">
        <v>111</v>
      </c>
      <c r="AW56" s="28">
        <v>35.5</v>
      </c>
      <c r="AX56" s="34">
        <v>1.5714900000000001</v>
      </c>
      <c r="AY56" s="34"/>
      <c r="AZ56" s="34"/>
      <c r="BA56" s="34">
        <f t="shared" si="62"/>
        <v>0.81242195411874019</v>
      </c>
      <c r="BB56" s="34"/>
      <c r="BC56" s="34"/>
      <c r="BD56" s="34">
        <f t="shared" si="77"/>
        <v>0.72518788508456689</v>
      </c>
      <c r="BE56" s="3"/>
    </row>
    <row r="57" spans="15:57" ht="16.5" x14ac:dyDescent="0.3">
      <c r="O57" s="28">
        <v>22</v>
      </c>
      <c r="P57" s="34">
        <f t="shared" si="55"/>
        <v>1.3197079743425257</v>
      </c>
      <c r="Q57" s="34">
        <f t="shared" si="60"/>
        <v>0.14095977948468907</v>
      </c>
      <c r="AC57" s="28" t="s">
        <v>17</v>
      </c>
      <c r="AD57" s="78">
        <v>12.5</v>
      </c>
      <c r="AE57" s="78">
        <f t="shared" ref="AE57:AE64" si="78">B7</f>
        <v>0</v>
      </c>
      <c r="AF57" s="101">
        <f t="shared" ref="AF57:AF64" si="79">$AI$30*(EXP(-EXP(-($AE$17+$AE$16*VLOOKUP(AD57,$AW$5:$AX$92,2)))))</f>
        <v>1.305258844843725E-5</v>
      </c>
      <c r="AG57" s="78">
        <f t="shared" ref="AG57:AG64" si="80">AE57/AF57</f>
        <v>0</v>
      </c>
      <c r="AW57" s="28">
        <v>36</v>
      </c>
      <c r="AX57" s="34">
        <v>1.6642600000000001</v>
      </c>
      <c r="AY57" s="34"/>
      <c r="AZ57" s="34"/>
      <c r="BA57" s="34">
        <f t="shared" si="62"/>
        <v>0.82751279395132449</v>
      </c>
      <c r="BB57" s="34"/>
      <c r="BC57" s="34"/>
      <c r="BD57" s="34">
        <f t="shared" si="77"/>
        <v>0.74318762816109318</v>
      </c>
      <c r="BE57" s="3"/>
    </row>
    <row r="58" spans="15:57" ht="16.5" x14ac:dyDescent="0.3">
      <c r="O58" s="28">
        <v>22.5</v>
      </c>
      <c r="P58" s="34">
        <f t="shared" si="55"/>
        <v>1.4598829667587876</v>
      </c>
      <c r="Q58" s="34">
        <f t="shared" si="60"/>
        <v>0.14226764023907201</v>
      </c>
      <c r="AC58" s="28" t="s">
        <v>0</v>
      </c>
      <c r="AD58" s="78">
        <v>17.5</v>
      </c>
      <c r="AE58" s="78">
        <f t="shared" si="78"/>
        <v>0.28299999999999997</v>
      </c>
      <c r="AF58" s="101">
        <f t="shared" si="79"/>
        <v>0.21454964464982376</v>
      </c>
      <c r="AG58" s="101">
        <f t="shared" si="80"/>
        <v>1.3190420355246784</v>
      </c>
      <c r="AW58" s="28">
        <v>36.5</v>
      </c>
      <c r="AX58" s="34">
        <v>1.765115</v>
      </c>
      <c r="AY58" s="34"/>
      <c r="AZ58" s="34"/>
      <c r="BA58" s="34">
        <f t="shared" si="62"/>
        <v>0.84268074879519927</v>
      </c>
      <c r="BB58" s="34"/>
      <c r="BC58" s="34"/>
      <c r="BD58" s="34">
        <f t="shared" si="77"/>
        <v>0.76067147089754195</v>
      </c>
      <c r="BE58" s="3"/>
    </row>
    <row r="59" spans="15:57" ht="16.5" x14ac:dyDescent="0.3">
      <c r="O59" s="28">
        <v>23</v>
      </c>
      <c r="P59" s="34">
        <f t="shared" si="55"/>
        <v>1.6042432548206698</v>
      </c>
      <c r="Q59" s="34">
        <f t="shared" si="60"/>
        <v>0.1436025053986395</v>
      </c>
      <c r="AC59" s="28" t="s">
        <v>1</v>
      </c>
      <c r="AD59" s="78">
        <v>22.5</v>
      </c>
      <c r="AE59" s="78">
        <f t="shared" si="78"/>
        <v>1.532</v>
      </c>
      <c r="AF59" s="101">
        <f t="shared" si="79"/>
        <v>1.2869675173688462</v>
      </c>
      <c r="AG59" s="101">
        <f t="shared" si="80"/>
        <v>1.1903952347858111</v>
      </c>
      <c r="AW59" s="28">
        <v>37</v>
      </c>
      <c r="AX59" s="34">
        <v>1.8659699999999999</v>
      </c>
      <c r="AY59" s="34"/>
      <c r="AZ59" s="34"/>
      <c r="BA59" s="34">
        <f t="shared" si="62"/>
        <v>0.85663270594830188</v>
      </c>
      <c r="BB59" s="34"/>
      <c r="BC59" s="34"/>
      <c r="BD59" s="34">
        <f t="shared" si="77"/>
        <v>0.77763517490379064</v>
      </c>
      <c r="BE59" s="3"/>
    </row>
    <row r="60" spans="15:57" ht="16.5" x14ac:dyDescent="0.3">
      <c r="O60" s="28">
        <v>23.5</v>
      </c>
      <c r="P60" s="34">
        <f t="shared" si="55"/>
        <v>1.7470879775560666</v>
      </c>
      <c r="Q60" s="34">
        <f t="shared" si="60"/>
        <v>0.14404181366685931</v>
      </c>
      <c r="AC60" s="28" t="s">
        <v>2</v>
      </c>
      <c r="AD60" s="78">
        <v>27.5</v>
      </c>
      <c r="AE60" s="78">
        <f t="shared" si="78"/>
        <v>2.8490000000000002</v>
      </c>
      <c r="AF60" s="101">
        <f t="shared" si="79"/>
        <v>2.536174963923191</v>
      </c>
      <c r="AG60" s="101">
        <f t="shared" si="80"/>
        <v>1.1233452110074071</v>
      </c>
      <c r="AW60" s="28">
        <v>37.5</v>
      </c>
      <c r="AX60" s="34">
        <v>1.977455</v>
      </c>
      <c r="AY60" s="34"/>
      <c r="AZ60" s="34"/>
      <c r="BA60" s="34">
        <f t="shared" si="62"/>
        <v>0.87073197452756534</v>
      </c>
      <c r="BB60" s="34"/>
      <c r="BC60" s="34"/>
      <c r="BD60" s="34">
        <f t="shared" si="77"/>
        <v>0.79407296823083873</v>
      </c>
      <c r="BE60" s="3"/>
    </row>
    <row r="61" spans="15:57" ht="16.5" x14ac:dyDescent="0.3">
      <c r="O61" s="28">
        <v>24</v>
      </c>
      <c r="P61" s="34">
        <f t="shared" si="55"/>
        <v>1.8923268821543884</v>
      </c>
      <c r="Q61" s="34">
        <f t="shared" si="60"/>
        <v>0.1444844819233283</v>
      </c>
      <c r="AC61" s="28" t="s">
        <v>3</v>
      </c>
      <c r="AD61" s="78">
        <v>32.5</v>
      </c>
      <c r="AE61" s="78">
        <f t="shared" si="78"/>
        <v>4.1849999999999996</v>
      </c>
      <c r="AF61" s="101">
        <f t="shared" si="79"/>
        <v>3.6363688645285475</v>
      </c>
      <c r="AG61" s="101">
        <f t="shared" si="80"/>
        <v>1.1508733453371986</v>
      </c>
      <c r="AW61" s="28">
        <v>38</v>
      </c>
      <c r="AX61" s="34">
        <v>2.08894</v>
      </c>
      <c r="AY61" s="34"/>
      <c r="AZ61" s="34"/>
      <c r="BA61" s="34">
        <f t="shared" si="62"/>
        <v>0.88354035348438364</v>
      </c>
      <c r="BB61" s="34"/>
      <c r="BC61" s="34"/>
      <c r="BD61" s="34">
        <f t="shared" si="77"/>
        <v>0.80997901682580553</v>
      </c>
      <c r="BE61" s="3"/>
    </row>
    <row r="62" spans="15:57" ht="16.5" x14ac:dyDescent="0.3">
      <c r="O62" s="28">
        <v>24.5</v>
      </c>
      <c r="P62" s="34">
        <f t="shared" si="55"/>
        <v>2.0360569414027232</v>
      </c>
      <c r="Q62" s="34">
        <f t="shared" si="60"/>
        <v>0.14419089338582647</v>
      </c>
      <c r="AC62" s="28" t="s">
        <v>4</v>
      </c>
      <c r="AD62" s="78">
        <v>37.5</v>
      </c>
      <c r="AE62" s="78">
        <f t="shared" si="78"/>
        <v>5.2140000000000004</v>
      </c>
      <c r="AF62" s="101">
        <f t="shared" si="79"/>
        <v>4.4852809380009733</v>
      </c>
      <c r="AG62" s="101">
        <f t="shared" si="80"/>
        <v>1.1624689895843641</v>
      </c>
      <c r="AW62" s="28">
        <v>38.5</v>
      </c>
      <c r="AX62" s="34">
        <v>2.2144300000000001</v>
      </c>
      <c r="AY62" s="34"/>
      <c r="AZ62" s="34"/>
      <c r="BA62" s="34">
        <f t="shared" si="62"/>
        <v>0.89653696923966519</v>
      </c>
      <c r="BB62" s="34"/>
      <c r="BC62" s="34"/>
      <c r="BD62" s="34">
        <f t="shared" si="77"/>
        <v>0.82534694050131108</v>
      </c>
      <c r="BE62" s="3"/>
    </row>
    <row r="63" spans="15:57" ht="16.5" x14ac:dyDescent="0.3">
      <c r="O63" s="28">
        <v>25</v>
      </c>
      <c r="P63" s="34">
        <f t="shared" si="55"/>
        <v>2.1807086689260413</v>
      </c>
      <c r="Q63" s="34">
        <f t="shared" si="60"/>
        <v>0.14447921431196997</v>
      </c>
      <c r="AC63" s="28" t="s">
        <v>5</v>
      </c>
      <c r="AD63" s="78">
        <v>42.5</v>
      </c>
      <c r="AE63" s="78">
        <f t="shared" si="78"/>
        <v>6.0339999999999998</v>
      </c>
      <c r="AF63" s="101">
        <f t="shared" si="79"/>
        <v>5.0198275751352508</v>
      </c>
      <c r="AG63" s="101">
        <f t="shared" si="80"/>
        <v>1.2020333188112391</v>
      </c>
      <c r="AW63" s="28">
        <v>39</v>
      </c>
      <c r="AX63" s="34">
        <v>2.3399200000000002</v>
      </c>
      <c r="AY63" s="34"/>
      <c r="AZ63" s="34"/>
      <c r="BA63" s="34">
        <f t="shared" si="62"/>
        <v>0.90815941850597914</v>
      </c>
      <c r="BB63" s="34"/>
      <c r="BC63" s="34"/>
      <c r="BD63" s="34">
        <f t="shared" si="77"/>
        <v>0.84016967397527831</v>
      </c>
      <c r="BE63" s="3"/>
    </row>
    <row r="64" spans="15:57" ht="16.5" x14ac:dyDescent="0.3">
      <c r="O64" s="28">
        <v>25.5</v>
      </c>
      <c r="P64" s="34">
        <f t="shared" si="55"/>
        <v>2.3250153700266631</v>
      </c>
      <c r="Q64" s="34">
        <f t="shared" si="60"/>
        <v>0.14415110777957119</v>
      </c>
      <c r="AC64" s="30" t="s">
        <v>6</v>
      </c>
      <c r="AD64" s="102">
        <v>47.5</v>
      </c>
      <c r="AE64" s="102">
        <f t="shared" si="78"/>
        <v>6.4530000000000003</v>
      </c>
      <c r="AF64" s="103">
        <f t="shared" si="79"/>
        <v>5.1656498752684739</v>
      </c>
      <c r="AG64" s="103">
        <f t="shared" si="80"/>
        <v>1.2492135850892563</v>
      </c>
      <c r="AW64" s="28">
        <v>39.5</v>
      </c>
      <c r="AX64" s="34">
        <v>2.4829699999999999</v>
      </c>
      <c r="AY64" s="34"/>
      <c r="AZ64" s="34"/>
      <c r="BA64" s="34">
        <f t="shared" si="62"/>
        <v>0.91989579910861818</v>
      </c>
      <c r="BB64" s="34"/>
      <c r="BC64" s="34"/>
      <c r="BD64" s="34">
        <f t="shared" si="77"/>
        <v>0.85443480267589877</v>
      </c>
      <c r="BE64" s="3"/>
    </row>
    <row r="65" spans="15:57" ht="16.5" x14ac:dyDescent="0.3">
      <c r="O65" s="28">
        <v>26</v>
      </c>
      <c r="P65" s="34">
        <f t="shared" ref="P65:P96" si="81">IF($BJ$19=1,$AI$53,$AI$30)*EXP(-EXP(-($K$7+$K$8*AX37)))</f>
        <v>2.4690108844851837</v>
      </c>
      <c r="Q65" s="34">
        <f t="shared" si="60"/>
        <v>0.14359033985493475</v>
      </c>
      <c r="AW65" s="28">
        <v>40</v>
      </c>
      <c r="AX65" s="34">
        <v>2.62602</v>
      </c>
      <c r="AY65" s="34"/>
      <c r="AZ65" s="34"/>
      <c r="BA65" s="34">
        <f t="shared" si="62"/>
        <v>0.9301904711169463</v>
      </c>
      <c r="BB65" s="34"/>
      <c r="BC65" s="34"/>
      <c r="BD65" s="34">
        <f t="shared" si="77"/>
        <v>0.8681298246576088</v>
      </c>
      <c r="BE65" s="3"/>
    </row>
    <row r="66" spans="15:57" ht="16.5" x14ac:dyDescent="0.3">
      <c r="O66" s="28">
        <v>26.5</v>
      </c>
      <c r="P66" s="34">
        <f t="shared" si="81"/>
        <v>2.6121960497365326</v>
      </c>
      <c r="Q66" s="34">
        <f t="shared" si="60"/>
        <v>0.14249815669582855</v>
      </c>
      <c r="AW66" s="28">
        <v>40.5</v>
      </c>
      <c r="AX66" s="34">
        <v>2.7905100000000003</v>
      </c>
      <c r="AY66" s="34"/>
      <c r="AZ66" s="34"/>
      <c r="BA66" s="34">
        <f t="shared" si="62"/>
        <v>0.94045648704234741</v>
      </c>
      <c r="BB66" s="34"/>
      <c r="BC66" s="34"/>
      <c r="BD66" s="34">
        <f t="shared" si="77"/>
        <v>0.88123204552585277</v>
      </c>
      <c r="BE66" s="3"/>
    </row>
    <row r="67" spans="15:57" ht="16.5" x14ac:dyDescent="0.3">
      <c r="O67" s="28">
        <v>27</v>
      </c>
      <c r="P67" s="34">
        <f t="shared" si="81"/>
        <v>2.7540071978768408</v>
      </c>
      <c r="Q67" s="34">
        <f t="shared" ref="Q67:Q98" si="82">(P68-P66)/2</f>
        <v>0.14127920025835783</v>
      </c>
      <c r="AW67" s="28">
        <v>41</v>
      </c>
      <c r="AX67" s="34">
        <v>2.9550000000000001</v>
      </c>
      <c r="AY67" s="34"/>
      <c r="AZ67" s="34"/>
      <c r="BA67" s="34">
        <f t="shared" si="62"/>
        <v>0.94925419502434549</v>
      </c>
      <c r="BB67" s="34"/>
      <c r="BC67" s="34"/>
      <c r="BD67" s="34">
        <f t="shared" si="77"/>
        <v>0.89372084222568415</v>
      </c>
      <c r="BE67" s="3"/>
    </row>
    <row r="68" spans="15:57" ht="16.5" x14ac:dyDescent="0.3">
      <c r="O68" s="28">
        <v>27.5</v>
      </c>
      <c r="P68" s="34">
        <f t="shared" si="81"/>
        <v>2.8947544502532483</v>
      </c>
      <c r="Q68" s="34">
        <f t="shared" si="82"/>
        <v>0.13960723277341613</v>
      </c>
      <c r="AW68" s="28">
        <v>41.5</v>
      </c>
      <c r="AX68" s="34">
        <v>3.1418650000000001</v>
      </c>
      <c r="AY68" s="34"/>
      <c r="AZ68" s="34"/>
      <c r="BA68" s="34">
        <f t="shared" si="62"/>
        <v>0.9577177671698458</v>
      </c>
      <c r="BB68" s="34"/>
      <c r="BC68" s="34"/>
      <c r="BD68" s="34">
        <f t="shared" si="77"/>
        <v>0.90555976319806752</v>
      </c>
      <c r="BE68" s="3"/>
    </row>
    <row r="69" spans="15:57" ht="16.5" x14ac:dyDescent="0.3">
      <c r="O69" s="28">
        <v>28</v>
      </c>
      <c r="P69" s="34">
        <f t="shared" si="81"/>
        <v>3.0332216634236731</v>
      </c>
      <c r="Q69" s="34">
        <f t="shared" si="82"/>
        <v>0.13823578884606835</v>
      </c>
      <c r="AW69" s="28">
        <v>42</v>
      </c>
      <c r="AX69" s="34">
        <v>3.3287300000000002</v>
      </c>
      <c r="AY69" s="34"/>
      <c r="AZ69" s="34"/>
      <c r="BA69" s="34">
        <f t="shared" si="62"/>
        <v>0.9647960074927292</v>
      </c>
      <c r="BB69" s="34"/>
      <c r="BC69" s="34"/>
      <c r="BD69" s="34">
        <f t="shared" si="77"/>
        <v>0.91671977919402114</v>
      </c>
      <c r="BE69" s="3"/>
    </row>
    <row r="70" spans="15:57" ht="16.5" x14ac:dyDescent="0.3">
      <c r="O70" s="28">
        <v>28.5</v>
      </c>
      <c r="P70" s="34">
        <f t="shared" si="81"/>
        <v>3.171226027945385</v>
      </c>
      <c r="Q70" s="34">
        <f t="shared" si="82"/>
        <v>0.13646319945981311</v>
      </c>
      <c r="AW70" s="28">
        <v>42.5</v>
      </c>
      <c r="AX70" s="34">
        <v>3.5442850000000004</v>
      </c>
      <c r="AY70" s="34"/>
      <c r="AZ70" s="34"/>
      <c r="BA70" s="34">
        <f t="shared" si="62"/>
        <v>0.97152403443876401</v>
      </c>
      <c r="BB70" s="34"/>
      <c r="BC70" s="34"/>
      <c r="BD70" s="34">
        <f t="shared" si="77"/>
        <v>0.92716754726680262</v>
      </c>
      <c r="BE70" s="3"/>
    </row>
    <row r="71" spans="15:57" ht="16.5" x14ac:dyDescent="0.3">
      <c r="O71" s="28">
        <v>29</v>
      </c>
      <c r="P71" s="34">
        <f t="shared" si="81"/>
        <v>3.3061480623432993</v>
      </c>
      <c r="Q71" s="34">
        <f t="shared" si="82"/>
        <v>0.13472949921155442</v>
      </c>
      <c r="AW71" s="28">
        <v>43</v>
      </c>
      <c r="AX71" s="34">
        <v>3.7598400000000001</v>
      </c>
      <c r="AY71" s="34"/>
      <c r="AZ71" s="34"/>
      <c r="BA71" s="34">
        <f t="shared" ref="BA71:BA83" si="83">EXP(-EXP(-AX71))</f>
        <v>0.97698159434136056</v>
      </c>
      <c r="BB71" s="34"/>
      <c r="BC71" s="34"/>
      <c r="BD71" s="34">
        <f t="shared" si="77"/>
        <v>0.93687921230521143</v>
      </c>
      <c r="BE71" s="3"/>
    </row>
    <row r="72" spans="15:57" ht="16.5" x14ac:dyDescent="0.3">
      <c r="O72" s="28">
        <v>29.5</v>
      </c>
      <c r="P72" s="34">
        <f t="shared" si="81"/>
        <v>3.4406850263684938</v>
      </c>
      <c r="Q72" s="34">
        <f t="shared" si="82"/>
        <v>0.1326411811885293</v>
      </c>
      <c r="AW72" s="28">
        <v>43.5</v>
      </c>
      <c r="AX72" s="34">
        <v>4.0074149999999999</v>
      </c>
      <c r="AY72" s="34"/>
      <c r="AZ72" s="34"/>
      <c r="BA72" s="34">
        <f t="shared" si="83"/>
        <v>0.98198393453897526</v>
      </c>
      <c r="BB72" s="34"/>
      <c r="BC72" s="34"/>
      <c r="BD72" s="34">
        <f t="shared" si="77"/>
        <v>0.94582362261302577</v>
      </c>
      <c r="BE72" s="3"/>
    </row>
    <row r="73" spans="15:57" ht="16.5" x14ac:dyDescent="0.3">
      <c r="O73" s="28">
        <v>30</v>
      </c>
      <c r="P73" s="34">
        <f t="shared" si="81"/>
        <v>3.5714304247203579</v>
      </c>
      <c r="Q73" s="34">
        <f t="shared" si="82"/>
        <v>0.13041630579190144</v>
      </c>
      <c r="AW73" s="28">
        <v>44</v>
      </c>
      <c r="AX73" s="34">
        <v>4.2549900000000003</v>
      </c>
      <c r="AY73" s="34"/>
      <c r="AZ73" s="34"/>
      <c r="BA73" s="34">
        <f t="shared" si="83"/>
        <v>0.98590701640310585</v>
      </c>
      <c r="BB73" s="34"/>
      <c r="BC73" s="34"/>
      <c r="BD73" s="34">
        <f t="shared" si="77"/>
        <v>0.95398335077284746</v>
      </c>
      <c r="BE73" s="3"/>
    </row>
    <row r="74" spans="15:57" ht="16.5" x14ac:dyDescent="0.3">
      <c r="O74" s="28">
        <v>30.5</v>
      </c>
      <c r="P74" s="34">
        <f t="shared" si="81"/>
        <v>3.7015176379522967</v>
      </c>
      <c r="Q74" s="34">
        <f t="shared" si="82"/>
        <v>0.12788807917004119</v>
      </c>
      <c r="AW74" s="28">
        <v>44.5</v>
      </c>
      <c r="AX74" s="34">
        <v>4.5323450000000003</v>
      </c>
      <c r="AY74" s="34"/>
      <c r="AZ74" s="34"/>
      <c r="BA74" s="34">
        <f t="shared" si="83"/>
        <v>0.9893022077709992</v>
      </c>
      <c r="BB74" s="34"/>
      <c r="BC74" s="34"/>
      <c r="BD74" s="34">
        <f t="shared" si="77"/>
        <v>0.96134105110082302</v>
      </c>
      <c r="BE74" s="3"/>
    </row>
    <row r="75" spans="15:57" ht="16.5" x14ac:dyDescent="0.3">
      <c r="O75" s="28">
        <v>31</v>
      </c>
      <c r="P75" s="34">
        <f t="shared" si="81"/>
        <v>3.8272065830604403</v>
      </c>
      <c r="Q75" s="34">
        <f t="shared" si="82"/>
        <v>0.12538033993230924</v>
      </c>
      <c r="AW75" s="28">
        <v>45</v>
      </c>
      <c r="AX75" s="34">
        <v>4.8097000000000003</v>
      </c>
      <c r="AY75" s="34"/>
      <c r="AZ75" s="34"/>
      <c r="BA75" s="34">
        <f t="shared" si="83"/>
        <v>0.99188281925836119</v>
      </c>
      <c r="BB75" s="34"/>
      <c r="BC75" s="34"/>
      <c r="BD75" s="34">
        <f t="shared" si="77"/>
        <v>0.9678959889410127</v>
      </c>
      <c r="BE75" s="3"/>
    </row>
    <row r="76" spans="15:57" ht="16.5" x14ac:dyDescent="0.3">
      <c r="O76" s="28">
        <v>31.5</v>
      </c>
      <c r="P76" s="34">
        <f t="shared" si="81"/>
        <v>3.9522783178169152</v>
      </c>
      <c r="Q76" s="34">
        <f t="shared" si="82"/>
        <v>0.12260775602158436</v>
      </c>
      <c r="AW76" s="28">
        <v>45.5</v>
      </c>
      <c r="AX76" s="34">
        <v>5.1114049999999995</v>
      </c>
      <c r="AY76" s="34"/>
      <c r="AZ76" s="34"/>
      <c r="BA76" s="34">
        <f t="shared" si="83"/>
        <v>0.99399052140390287</v>
      </c>
      <c r="BB76" s="34"/>
      <c r="BC76" s="34"/>
      <c r="BD76" s="34">
        <f t="shared" si="77"/>
        <v>0.97365730806616113</v>
      </c>
      <c r="BE76" s="3"/>
    </row>
    <row r="77" spans="15:57" ht="16.5" x14ac:dyDescent="0.3">
      <c r="O77" s="28">
        <v>32</v>
      </c>
      <c r="P77" s="34">
        <f t="shared" si="81"/>
        <v>4.072422095103609</v>
      </c>
      <c r="Q77" s="34">
        <f t="shared" si="82"/>
        <v>0.12013906155870191</v>
      </c>
      <c r="AW77" s="28">
        <v>46</v>
      </c>
      <c r="AX77" s="34">
        <v>5.4131099999999996</v>
      </c>
      <c r="AY77" s="34"/>
      <c r="AZ77" s="34"/>
      <c r="BA77" s="34">
        <f t="shared" si="83"/>
        <v>0.99555216602957797</v>
      </c>
      <c r="BB77" s="34"/>
      <c r="BC77" s="34"/>
      <c r="BD77" s="34">
        <f t="shared" si="77"/>
        <v>0.97864890833450058</v>
      </c>
      <c r="BE77" s="3"/>
    </row>
    <row r="78" spans="15:57" ht="16.5" x14ac:dyDescent="0.3">
      <c r="O78" s="28">
        <v>32.5</v>
      </c>
      <c r="P78" s="34">
        <f t="shared" si="81"/>
        <v>4.192556440934319</v>
      </c>
      <c r="Q78" s="34">
        <f t="shared" si="82"/>
        <v>0.11741295019654485</v>
      </c>
      <c r="AW78" s="28">
        <v>46.5</v>
      </c>
      <c r="AX78" s="34">
        <v>5.7708750000000002</v>
      </c>
      <c r="AY78" s="34"/>
      <c r="AZ78" s="34"/>
      <c r="BA78" s="34">
        <f t="shared" si="83"/>
        <v>0.99688782397086073</v>
      </c>
      <c r="BB78" s="34"/>
      <c r="BC78" s="34"/>
      <c r="BD78" s="34">
        <f t="shared" si="77"/>
        <v>0.98292230972481287</v>
      </c>
      <c r="BE78" s="3"/>
    </row>
    <row r="79" spans="15:57" ht="16.5" x14ac:dyDescent="0.3">
      <c r="O79" s="28">
        <v>33</v>
      </c>
      <c r="P79" s="34">
        <f t="shared" si="81"/>
        <v>4.3072479954966987</v>
      </c>
      <c r="Q79" s="34">
        <f t="shared" si="82"/>
        <v>0.11484291384590506</v>
      </c>
      <c r="AW79" s="28">
        <v>47</v>
      </c>
      <c r="AX79" s="34">
        <v>6.1286399999999999</v>
      </c>
      <c r="AY79" s="34"/>
      <c r="AZ79" s="34"/>
      <c r="BA79" s="34">
        <f t="shared" si="83"/>
        <v>0.99782283035479935</v>
      </c>
      <c r="BB79" s="34"/>
      <c r="BC79" s="34"/>
      <c r="BD79" s="34">
        <f t="shared" ref="BD79:BD91" si="84">0.2*(0.25*(BA69+BA79)+0.5*SUM(BA70:BA78))</f>
        <v>0.98653215370796721</v>
      </c>
      <c r="BE79" s="3"/>
    </row>
    <row r="80" spans="15:57" ht="16.5" x14ac:dyDescent="0.3">
      <c r="O80" s="28">
        <v>33.5</v>
      </c>
      <c r="P80" s="34">
        <f t="shared" si="81"/>
        <v>4.4222422686261291</v>
      </c>
      <c r="Q80" s="34">
        <f t="shared" si="82"/>
        <v>0.11202428569415979</v>
      </c>
      <c r="AW80" s="28">
        <v>47.5</v>
      </c>
      <c r="AX80" s="34">
        <v>6.5994299999999999</v>
      </c>
      <c r="AY80" s="34"/>
      <c r="AZ80" s="34"/>
      <c r="BA80" s="34">
        <f t="shared" si="83"/>
        <v>0.9986397822675217</v>
      </c>
      <c r="BB80" s="34"/>
      <c r="BC80" s="34"/>
      <c r="BD80" s="34">
        <f t="shared" si="84"/>
        <v>0.98953928224250864</v>
      </c>
      <c r="BE80" s="3"/>
    </row>
    <row r="81" spans="15:57" ht="16.5" x14ac:dyDescent="0.3">
      <c r="O81" s="28">
        <v>34</v>
      </c>
      <c r="P81" s="34">
        <f t="shared" si="81"/>
        <v>4.5312965668850183</v>
      </c>
      <c r="Q81" s="34">
        <f t="shared" si="82"/>
        <v>0.10930414320887927</v>
      </c>
      <c r="AW81" s="28">
        <v>48</v>
      </c>
      <c r="AX81" s="34">
        <v>7.0702199999999999</v>
      </c>
      <c r="AY81" s="34"/>
      <c r="AZ81" s="34"/>
      <c r="BA81" s="34">
        <f t="shared" si="83"/>
        <v>0.99915031510836183</v>
      </c>
      <c r="BB81" s="34"/>
      <c r="BC81" s="34"/>
      <c r="BD81" s="34">
        <f t="shared" si="84"/>
        <v>0.99200350567229645</v>
      </c>
      <c r="BE81" s="3"/>
    </row>
    <row r="82" spans="15:57" ht="16.5" x14ac:dyDescent="0.3">
      <c r="O82" s="28">
        <v>34.5</v>
      </c>
      <c r="P82" s="34">
        <f t="shared" si="81"/>
        <v>4.6408505550438877</v>
      </c>
      <c r="Q82" s="34">
        <f t="shared" si="82"/>
        <v>0.10634290577155836</v>
      </c>
      <c r="AW82" s="28">
        <v>48.5</v>
      </c>
      <c r="AX82" s="34">
        <v>7.8593049999999991</v>
      </c>
      <c r="AY82" s="34"/>
      <c r="AZ82" s="34"/>
      <c r="BA82" s="34">
        <f t="shared" si="83"/>
        <v>0.9996139323963561</v>
      </c>
      <c r="BB82" s="34"/>
      <c r="BC82" s="34"/>
      <c r="BD82" s="34">
        <f t="shared" si="84"/>
        <v>0.99399344160351566</v>
      </c>
      <c r="BE82" s="3"/>
    </row>
    <row r="83" spans="15:57" ht="16.5" x14ac:dyDescent="0.3">
      <c r="O83" s="28">
        <v>35</v>
      </c>
      <c r="P83" s="34">
        <f t="shared" si="81"/>
        <v>4.743982378428135</v>
      </c>
      <c r="Q83" s="34">
        <f t="shared" si="82"/>
        <v>0.10357403699462653</v>
      </c>
      <c r="AW83" s="28">
        <v>49</v>
      </c>
      <c r="AX83" s="34">
        <v>8.6483899999999991</v>
      </c>
      <c r="AY83" s="34"/>
      <c r="AZ83" s="34"/>
      <c r="BA83" s="34">
        <f t="shared" si="83"/>
        <v>0.99982460635378612</v>
      </c>
      <c r="BB83" s="34"/>
      <c r="BC83" s="34"/>
      <c r="BD83" s="34">
        <f t="shared" si="84"/>
        <v>0.9955708209939188</v>
      </c>
      <c r="BE83" s="3"/>
    </row>
    <row r="84" spans="15:57" ht="16.5" x14ac:dyDescent="0.3">
      <c r="O84" s="28">
        <v>35.5</v>
      </c>
      <c r="P84" s="34">
        <f t="shared" si="81"/>
        <v>4.8479986290331407</v>
      </c>
      <c r="Q84" s="34">
        <f t="shared" si="82"/>
        <v>0.10055303987171804</v>
      </c>
      <c r="AW84" s="28">
        <v>49.5</v>
      </c>
      <c r="AX84" s="34">
        <v>11.824195</v>
      </c>
      <c r="AY84" s="34"/>
      <c r="AZ84" s="34"/>
      <c r="BA84" s="34">
        <v>0.99999899999999997</v>
      </c>
      <c r="BB84" s="34"/>
      <c r="BC84" s="34"/>
      <c r="BD84" s="34">
        <f t="shared" si="84"/>
        <v>0.99680154010290289</v>
      </c>
      <c r="BE84" s="3"/>
    </row>
    <row r="85" spans="15:57" ht="16.5" x14ac:dyDescent="0.3">
      <c r="O85" s="28">
        <v>36</v>
      </c>
      <c r="P85" s="34">
        <f t="shared" si="81"/>
        <v>4.9450884581715711</v>
      </c>
      <c r="Q85" s="34">
        <f t="shared" si="82"/>
        <v>9.756684597770926E-2</v>
      </c>
      <c r="AW85" s="28">
        <v>50</v>
      </c>
      <c r="AX85" s="34">
        <v>15</v>
      </c>
      <c r="AY85" s="34"/>
      <c r="AZ85" s="34"/>
      <c r="BA85" s="34">
        <v>0.99999899999999997</v>
      </c>
      <c r="BB85" s="34"/>
      <c r="BC85" s="34"/>
      <c r="BD85" s="34">
        <f t="shared" si="84"/>
        <v>0.99774218875143461</v>
      </c>
      <c r="BE85" s="3"/>
    </row>
    <row r="86" spans="15:57" ht="16.5" x14ac:dyDescent="0.3">
      <c r="O86" s="28">
        <v>36.5</v>
      </c>
      <c r="P86" s="34">
        <f t="shared" si="81"/>
        <v>5.0431323209885592</v>
      </c>
      <c r="Q86" s="34">
        <f t="shared" si="82"/>
        <v>9.4330898618131265E-2</v>
      </c>
      <c r="AW86" s="28">
        <v>50.5</v>
      </c>
      <c r="AX86" s="34">
        <v>99999</v>
      </c>
      <c r="AY86" s="34"/>
      <c r="AZ86" s="34"/>
      <c r="BA86" s="34">
        <v>1</v>
      </c>
      <c r="BB86" s="34"/>
      <c r="BC86" s="34"/>
      <c r="BD86" s="34">
        <f t="shared" si="84"/>
        <v>0.99844847171832152</v>
      </c>
      <c r="BE86" s="3"/>
    </row>
    <row r="87" spans="15:57" ht="16.5" x14ac:dyDescent="0.3">
      <c r="O87" s="28">
        <v>37</v>
      </c>
      <c r="P87" s="34">
        <f t="shared" si="81"/>
        <v>5.1337502554078336</v>
      </c>
      <c r="Q87" s="34">
        <f t="shared" si="82"/>
        <v>9.1324058133513297E-2</v>
      </c>
      <c r="AW87" s="28">
        <v>51</v>
      </c>
      <c r="AX87" s="34">
        <v>99999</v>
      </c>
      <c r="AY87" s="34"/>
      <c r="AZ87" s="34"/>
      <c r="BA87" s="34">
        <v>1</v>
      </c>
      <c r="BB87" s="34"/>
      <c r="BC87" s="34"/>
      <c r="BD87" s="34">
        <f t="shared" si="84"/>
        <v>0.99897133734664745</v>
      </c>
      <c r="BE87" s="3"/>
    </row>
    <row r="88" spans="15:57" ht="16.5" x14ac:dyDescent="0.3">
      <c r="O88" s="28">
        <v>37.5</v>
      </c>
      <c r="P88" s="34">
        <f t="shared" si="81"/>
        <v>5.2257804372555858</v>
      </c>
      <c r="Q88" s="34">
        <f t="shared" si="82"/>
        <v>8.8031992046774921E-2</v>
      </c>
      <c r="AW88" s="28">
        <v>51.5</v>
      </c>
      <c r="AX88" s="34">
        <v>99999</v>
      </c>
      <c r="AY88" s="34"/>
      <c r="AZ88" s="34"/>
      <c r="BA88" s="34">
        <v>1</v>
      </c>
      <c r="BB88" s="34"/>
      <c r="BC88" s="34"/>
      <c r="BD88" s="34">
        <f t="shared" si="84"/>
        <v>0.99934933784662572</v>
      </c>
      <c r="BE88" s="3"/>
    </row>
    <row r="89" spans="15:57" ht="16.5" x14ac:dyDescent="0.3">
      <c r="O89" s="28">
        <v>38</v>
      </c>
      <c r="P89" s="34">
        <f t="shared" si="81"/>
        <v>5.3098142395013834</v>
      </c>
      <c r="Q89" s="34">
        <f t="shared" si="82"/>
        <v>8.4879433373910462E-2</v>
      </c>
      <c r="AW89" s="28">
        <v>52</v>
      </c>
      <c r="AX89" s="34">
        <v>99999</v>
      </c>
      <c r="AY89" s="34"/>
      <c r="AZ89" s="34"/>
      <c r="BA89" s="34">
        <v>1</v>
      </c>
      <c r="BB89" s="34"/>
      <c r="BC89" s="34"/>
      <c r="BD89" s="34">
        <f t="shared" si="84"/>
        <v>0.99961380513034259</v>
      </c>
      <c r="BE89" s="3"/>
    </row>
    <row r="90" spans="15:57" ht="16.5" x14ac:dyDescent="0.3">
      <c r="O90" s="28">
        <v>38.5</v>
      </c>
      <c r="P90" s="34">
        <f t="shared" si="81"/>
        <v>5.3955393040034068</v>
      </c>
      <c r="Q90" s="34">
        <f t="shared" si="82"/>
        <v>8.140671625149043E-2</v>
      </c>
      <c r="AW90" s="28">
        <v>52.5</v>
      </c>
      <c r="AX90" s="34">
        <v>99999</v>
      </c>
      <c r="AY90" s="34"/>
      <c r="AZ90" s="34"/>
      <c r="BA90" s="34">
        <v>1</v>
      </c>
      <c r="BB90" s="34"/>
      <c r="BC90" s="34"/>
      <c r="BD90" s="34">
        <f t="shared" si="84"/>
        <v>0.99979067449922665</v>
      </c>
      <c r="BE90" s="3"/>
    </row>
    <row r="91" spans="15:57" ht="16.5" x14ac:dyDescent="0.3">
      <c r="O91" s="28">
        <v>39</v>
      </c>
      <c r="P91" s="34">
        <f t="shared" si="81"/>
        <v>5.4726276720043643</v>
      </c>
      <c r="Q91" s="34">
        <f t="shared" si="82"/>
        <v>7.7693194559417034E-2</v>
      </c>
      <c r="AW91" s="28">
        <v>53</v>
      </c>
      <c r="AX91" s="34">
        <v>99999</v>
      </c>
      <c r="AY91" s="34"/>
      <c r="AZ91" s="34"/>
      <c r="BA91" s="34">
        <v>1</v>
      </c>
      <c r="BB91" s="34"/>
      <c r="BC91" s="34"/>
      <c r="BD91" s="34">
        <f t="shared" si="84"/>
        <v>0.99990116963043241</v>
      </c>
      <c r="BE91" s="3"/>
    </row>
    <row r="92" spans="15:57" ht="16.5" x14ac:dyDescent="0.3">
      <c r="O92" s="28">
        <v>39.5</v>
      </c>
      <c r="P92" s="34">
        <f t="shared" si="81"/>
        <v>5.5509256931222408</v>
      </c>
      <c r="Q92" s="34">
        <f t="shared" si="82"/>
        <v>7.3698669047014942E-2</v>
      </c>
      <c r="AW92" s="28">
        <v>53.5</v>
      </c>
      <c r="AX92" s="34">
        <v>100000</v>
      </c>
      <c r="AY92" s="34"/>
      <c r="AZ92" s="34"/>
      <c r="BA92" s="34">
        <v>1</v>
      </c>
      <c r="BB92" s="34"/>
      <c r="BC92" s="34"/>
      <c r="BD92" s="104"/>
      <c r="BE92" s="3"/>
    </row>
    <row r="93" spans="15:57" ht="16.5" x14ac:dyDescent="0.3">
      <c r="O93" s="28">
        <v>40</v>
      </c>
      <c r="P93" s="34">
        <f t="shared" si="81"/>
        <v>5.6200250100983942</v>
      </c>
      <c r="Q93" s="34">
        <f t="shared" si="82"/>
        <v>6.9224070430731643E-2</v>
      </c>
    </row>
    <row r="94" spans="15:57" ht="16.5" x14ac:dyDescent="0.3">
      <c r="O94" s="28">
        <v>40.5</v>
      </c>
      <c r="P94" s="34">
        <f t="shared" si="81"/>
        <v>5.6893738339837041</v>
      </c>
      <c r="Q94" s="34">
        <f t="shared" si="82"/>
        <v>6.4589897355638914E-2</v>
      </c>
    </row>
    <row r="95" spans="15:57" ht="16.5" x14ac:dyDescent="0.3">
      <c r="O95" s="28">
        <v>41</v>
      </c>
      <c r="P95" s="34">
        <f t="shared" si="81"/>
        <v>5.749204804809672</v>
      </c>
      <c r="Q95" s="34">
        <f t="shared" si="82"/>
        <v>5.8897193132123604E-2</v>
      </c>
    </row>
    <row r="96" spans="15:57" ht="16.5" x14ac:dyDescent="0.3">
      <c r="O96" s="28">
        <v>41.5</v>
      </c>
      <c r="P96" s="34">
        <f t="shared" si="81"/>
        <v>5.8071682202479513</v>
      </c>
      <c r="Q96" s="34">
        <f t="shared" si="82"/>
        <v>5.3398060516596679E-2</v>
      </c>
    </row>
    <row r="97" spans="15:17" ht="16.5" x14ac:dyDescent="0.3">
      <c r="O97" s="28">
        <v>42</v>
      </c>
      <c r="P97" s="34">
        <f t="shared" ref="P97:P120" si="85">IF($BJ$19=1,$AI$53,$AI$30)*EXP(-EXP(-($K$7+$K$8*AX69)))</f>
        <v>5.8560009258428654</v>
      </c>
      <c r="Q97" s="34">
        <f t="shared" si="82"/>
        <v>4.7804240521040153E-2</v>
      </c>
    </row>
    <row r="98" spans="15:17" ht="16.5" x14ac:dyDescent="0.3">
      <c r="O98" s="28">
        <v>42.5</v>
      </c>
      <c r="P98" s="34">
        <f t="shared" si="85"/>
        <v>5.9027767012900316</v>
      </c>
      <c r="Q98" s="34">
        <f t="shared" si="82"/>
        <v>4.251452229984265E-2</v>
      </c>
    </row>
    <row r="99" spans="15:17" ht="16.5" x14ac:dyDescent="0.3">
      <c r="O99" s="28">
        <v>43</v>
      </c>
      <c r="P99" s="34">
        <f t="shared" si="85"/>
        <v>5.9410299704425507</v>
      </c>
      <c r="Q99" s="34">
        <f t="shared" ref="Q99:Q119" si="86">(P100-P98)/2</f>
        <v>3.6808425243736398E-2</v>
      </c>
    </row>
    <row r="100" spans="15:17" ht="16.5" x14ac:dyDescent="0.3">
      <c r="O100" s="28">
        <v>43.5</v>
      </c>
      <c r="P100" s="34">
        <f t="shared" si="85"/>
        <v>5.9763935517775044</v>
      </c>
      <c r="Q100" s="34">
        <f t="shared" si="86"/>
        <v>3.1674634062604845E-2</v>
      </c>
    </row>
    <row r="101" spans="15:17" ht="16.5" x14ac:dyDescent="0.3">
      <c r="O101" s="28">
        <v>44</v>
      </c>
      <c r="P101" s="34">
        <f t="shared" si="85"/>
        <v>6.0043792385677603</v>
      </c>
      <c r="Q101" s="34">
        <f t="shared" si="86"/>
        <v>2.6217098558461327E-2</v>
      </c>
    </row>
    <row r="102" spans="15:17" ht="16.5" x14ac:dyDescent="0.3">
      <c r="O102" s="28">
        <v>44.5</v>
      </c>
      <c r="P102" s="34">
        <f t="shared" si="85"/>
        <v>6.0288277488944271</v>
      </c>
      <c r="Q102" s="34">
        <f t="shared" si="86"/>
        <v>2.1607558333703203E-2</v>
      </c>
    </row>
    <row r="103" spans="15:17" ht="16.5" x14ac:dyDescent="0.3">
      <c r="O103" s="28">
        <v>45</v>
      </c>
      <c r="P103" s="34">
        <f t="shared" si="85"/>
        <v>6.0475943552351668</v>
      </c>
      <c r="Q103" s="34">
        <f t="shared" si="86"/>
        <v>1.7124996171716145E-2</v>
      </c>
    </row>
    <row r="104" spans="15:17" ht="16.5" x14ac:dyDescent="0.3">
      <c r="O104" s="28">
        <v>45.5</v>
      </c>
      <c r="P104" s="34">
        <f t="shared" si="85"/>
        <v>6.0630777412378594</v>
      </c>
      <c r="Q104" s="34">
        <f t="shared" si="86"/>
        <v>1.3538126567027575E-2</v>
      </c>
    </row>
    <row r="105" spans="15:17" ht="16.5" x14ac:dyDescent="0.3">
      <c r="O105" s="28">
        <v>46</v>
      </c>
      <c r="P105" s="34">
        <f t="shared" si="85"/>
        <v>6.0746706083692219</v>
      </c>
      <c r="Q105" s="34">
        <f t="shared" si="86"/>
        <v>1.0810175553818357E-2</v>
      </c>
    </row>
    <row r="106" spans="15:17" ht="16.5" x14ac:dyDescent="0.3">
      <c r="O106" s="28">
        <v>46.5</v>
      </c>
      <c r="P106" s="34">
        <f t="shared" si="85"/>
        <v>6.0846980923454961</v>
      </c>
      <c r="Q106" s="34">
        <f t="shared" si="86"/>
        <v>8.5667524124302119E-3</v>
      </c>
    </row>
    <row r="107" spans="15:17" ht="16.5" x14ac:dyDescent="0.3">
      <c r="O107" s="28">
        <v>47</v>
      </c>
      <c r="P107" s="34">
        <f t="shared" si="85"/>
        <v>6.0918041131940823</v>
      </c>
      <c r="Q107" s="34">
        <f t="shared" si="86"/>
        <v>6.7006383385055379E-3</v>
      </c>
    </row>
    <row r="108" spans="15:17" ht="16.5" x14ac:dyDescent="0.3">
      <c r="O108" s="28">
        <v>47.5</v>
      </c>
      <c r="P108" s="34">
        <f t="shared" si="85"/>
        <v>6.0980993690225072</v>
      </c>
      <c r="Q108" s="34">
        <f t="shared" si="86"/>
        <v>5.14624219917037E-3</v>
      </c>
    </row>
    <row r="109" spans="15:17" ht="16.5" x14ac:dyDescent="0.3">
      <c r="O109" s="28">
        <v>48</v>
      </c>
      <c r="P109" s="34">
        <f t="shared" si="85"/>
        <v>6.1020965975924231</v>
      </c>
      <c r="Q109" s="34">
        <f t="shared" si="86"/>
        <v>3.8504785633488581E-3</v>
      </c>
    </row>
    <row r="110" spans="15:17" ht="16.5" x14ac:dyDescent="0.3">
      <c r="O110" s="28">
        <v>48.5</v>
      </c>
      <c r="P110" s="34">
        <f t="shared" si="85"/>
        <v>6.1058003261492049</v>
      </c>
      <c r="Q110" s="34">
        <f t="shared" si="86"/>
        <v>2.7159810503389892E-3</v>
      </c>
    </row>
    <row r="111" spans="15:17" ht="16.5" x14ac:dyDescent="0.3">
      <c r="O111" s="28">
        <v>49</v>
      </c>
      <c r="P111" s="34">
        <f t="shared" si="85"/>
        <v>6.107528559693101</v>
      </c>
      <c r="Q111" s="34">
        <f t="shared" si="86"/>
        <v>1.5845547841548679E-3</v>
      </c>
    </row>
    <row r="112" spans="15:17" ht="16.5" x14ac:dyDescent="0.3">
      <c r="O112" s="28">
        <v>49.5</v>
      </c>
      <c r="P112" s="34">
        <f t="shared" si="85"/>
        <v>6.1089694357175146</v>
      </c>
      <c r="Q112" s="34">
        <f t="shared" si="86"/>
        <v>7.5390062036095884E-4</v>
      </c>
    </row>
    <row r="113" spans="15:17" ht="16.5" x14ac:dyDescent="0.3">
      <c r="O113" s="28">
        <v>50</v>
      </c>
      <c r="P113" s="34">
        <f t="shared" si="85"/>
        <v>6.109036360933823</v>
      </c>
      <c r="Q113" s="34">
        <f t="shared" si="86"/>
        <v>3.5092371968303837E-5</v>
      </c>
    </row>
    <row r="114" spans="15:17" ht="16.5" x14ac:dyDescent="0.3">
      <c r="O114" s="28">
        <v>50.5</v>
      </c>
      <c r="P114" s="34">
        <f t="shared" si="85"/>
        <v>6.1090396204614512</v>
      </c>
      <c r="Q114" s="34">
        <f t="shared" si="86"/>
        <v>1.6297638141260506E-6</v>
      </c>
    </row>
    <row r="115" spans="15:17" ht="16.5" x14ac:dyDescent="0.3">
      <c r="O115" s="28">
        <v>51</v>
      </c>
      <c r="P115" s="34">
        <f t="shared" si="85"/>
        <v>6.1090396204614512</v>
      </c>
      <c r="Q115" s="34">
        <f t="shared" si="86"/>
        <v>0</v>
      </c>
    </row>
    <row r="116" spans="15:17" ht="16.5" x14ac:dyDescent="0.3">
      <c r="O116" s="28">
        <v>51.5</v>
      </c>
      <c r="P116" s="34">
        <f t="shared" si="85"/>
        <v>6.1090396204614512</v>
      </c>
      <c r="Q116" s="34">
        <f t="shared" si="86"/>
        <v>0</v>
      </c>
    </row>
    <row r="117" spans="15:17" ht="16.5" x14ac:dyDescent="0.3">
      <c r="O117" s="28">
        <v>52</v>
      </c>
      <c r="P117" s="34">
        <f t="shared" si="85"/>
        <v>6.1090396204614512</v>
      </c>
      <c r="Q117" s="34">
        <f t="shared" si="86"/>
        <v>0</v>
      </c>
    </row>
    <row r="118" spans="15:17" ht="16.5" x14ac:dyDescent="0.3">
      <c r="O118" s="28">
        <v>52.5</v>
      </c>
      <c r="P118" s="34">
        <f t="shared" si="85"/>
        <v>6.1090396204614512</v>
      </c>
      <c r="Q118" s="34">
        <f t="shared" si="86"/>
        <v>0</v>
      </c>
    </row>
    <row r="119" spans="15:17" ht="16.5" x14ac:dyDescent="0.3">
      <c r="O119" s="28">
        <v>53</v>
      </c>
      <c r="P119" s="34">
        <f t="shared" si="85"/>
        <v>6.1090396204614512</v>
      </c>
      <c r="Q119" s="34">
        <f t="shared" si="86"/>
        <v>0</v>
      </c>
    </row>
    <row r="120" spans="15:17" ht="16.5" x14ac:dyDescent="0.3">
      <c r="O120" s="28">
        <v>53.5</v>
      </c>
      <c r="P120" s="34">
        <f t="shared" si="85"/>
        <v>6.1090396204614512</v>
      </c>
      <c r="Q120" s="34"/>
    </row>
  </sheetData>
  <sheetProtection sheet="1" objects="1" scenarios="1"/>
  <mergeCells count="15">
    <mergeCell ref="V16:W16"/>
    <mergeCell ref="Y16:Z16"/>
    <mergeCell ref="V4:W4"/>
    <mergeCell ref="Y4:Z4"/>
    <mergeCell ref="D1:E1"/>
    <mergeCell ref="B4:E4"/>
    <mergeCell ref="F4:H4"/>
    <mergeCell ref="AN4:AT4"/>
    <mergeCell ref="AL41:AU41"/>
    <mergeCell ref="AN15:AT15"/>
    <mergeCell ref="AL42:AM42"/>
    <mergeCell ref="AN42:AO42"/>
    <mergeCell ref="AP42:AQ42"/>
    <mergeCell ref="AR42:AS42"/>
    <mergeCell ref="AT42:AU42"/>
  </mergeCells>
  <phoneticPr fontId="0" type="noConversion"/>
  <dataValidations count="1">
    <dataValidation type="whole" allowBlank="1" showInputMessage="1" showErrorMessage="1" error="Values allowed are only_x000a_1 - Yes (point included in model)_x000a_0 or blank - No (point excluded)" sqref="E8:E14 C8:C14">
      <formula1>0</formula1>
      <formula2>1</formula2>
    </dataValidation>
  </dataValidations>
  <pageMargins left="0.75" right="0.75" top="1" bottom="1" header="0.5" footer="0.5"/>
  <pageSetup paperSize="9" scale="95" orientation="landscape" copies="9"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66"/>
  <sheetViews>
    <sheetView showGridLines="0" showRowColHeaders="0" topLeftCell="A22" zoomScale="80" zoomScaleNormal="80" workbookViewId="0">
      <selection activeCell="AA43" sqref="AA43"/>
    </sheetView>
  </sheetViews>
  <sheetFormatPr defaultColWidth="8.85546875" defaultRowHeight="12.75" x14ac:dyDescent="0.2"/>
  <sheetData>
    <row r="1" spans="1:1" ht="16.5" x14ac:dyDescent="0.3">
      <c r="A1" s="29" t="s">
        <v>59</v>
      </c>
    </row>
    <row r="2" spans="1:1" ht="16.5" x14ac:dyDescent="0.3">
      <c r="A2" s="29"/>
    </row>
    <row r="3" spans="1:1" ht="16.5" x14ac:dyDescent="0.3">
      <c r="A3" s="29"/>
    </row>
    <row r="4" spans="1:1" ht="16.5" x14ac:dyDescent="0.3">
      <c r="A4" s="29"/>
    </row>
    <row r="5" spans="1:1" ht="16.5" x14ac:dyDescent="0.3">
      <c r="A5" s="29"/>
    </row>
    <row r="6" spans="1:1" ht="16.5" x14ac:dyDescent="0.3">
      <c r="A6" s="29"/>
    </row>
    <row r="7" spans="1:1" ht="16.5" x14ac:dyDescent="0.3">
      <c r="A7" s="29"/>
    </row>
    <row r="8" spans="1:1" ht="16.5" x14ac:dyDescent="0.3">
      <c r="A8" s="29"/>
    </row>
    <row r="9" spans="1:1" ht="16.5" x14ac:dyDescent="0.3">
      <c r="A9" s="29"/>
    </row>
    <row r="10" spans="1:1" ht="16.5" x14ac:dyDescent="0.3">
      <c r="A10" s="29"/>
    </row>
    <row r="11" spans="1:1" ht="16.5" x14ac:dyDescent="0.3">
      <c r="A11" s="29"/>
    </row>
    <row r="12" spans="1:1" ht="16.5" x14ac:dyDescent="0.3">
      <c r="A12" s="29"/>
    </row>
    <row r="13" spans="1:1" ht="16.5" x14ac:dyDescent="0.3">
      <c r="A13" s="29"/>
    </row>
    <row r="14" spans="1:1" ht="16.5" x14ac:dyDescent="0.3">
      <c r="A14" s="29"/>
    </row>
    <row r="15" spans="1:1" ht="16.5" x14ac:dyDescent="0.3">
      <c r="A15" s="29"/>
    </row>
    <row r="16" spans="1:1" ht="16.5" x14ac:dyDescent="0.3">
      <c r="A16" s="29"/>
    </row>
    <row r="17" spans="1:19" ht="16.5" x14ac:dyDescent="0.3">
      <c r="A17" s="29"/>
    </row>
    <row r="18" spans="1:19" ht="16.5" x14ac:dyDescent="0.3">
      <c r="A18" s="29"/>
      <c r="S18" s="11"/>
    </row>
    <row r="19" spans="1:19" ht="16.5" x14ac:dyDescent="0.3">
      <c r="A19" s="29"/>
    </row>
    <row r="20" spans="1:19" ht="16.5" x14ac:dyDescent="0.3">
      <c r="A20" s="29"/>
    </row>
    <row r="21" spans="1:19" ht="16.5" x14ac:dyDescent="0.3">
      <c r="A21" s="29"/>
    </row>
    <row r="22" spans="1:19" ht="16.5" x14ac:dyDescent="0.3">
      <c r="A22" s="29"/>
    </row>
    <row r="23" spans="1:19" ht="16.5" x14ac:dyDescent="0.3">
      <c r="A23" s="29"/>
    </row>
    <row r="24" spans="1:19" ht="16.5" x14ac:dyDescent="0.3">
      <c r="A24" s="29"/>
    </row>
    <row r="25" spans="1:19" ht="16.5" x14ac:dyDescent="0.3">
      <c r="A25" s="29"/>
    </row>
    <row r="26" spans="1:19" ht="16.5" x14ac:dyDescent="0.3">
      <c r="A26" s="29"/>
    </row>
    <row r="27" spans="1:19" ht="16.5" x14ac:dyDescent="0.3">
      <c r="A27" s="29"/>
    </row>
    <row r="28" spans="1:19" ht="16.5" x14ac:dyDescent="0.3">
      <c r="A28" s="29"/>
    </row>
    <row r="29" spans="1:19" ht="16.5" x14ac:dyDescent="0.3">
      <c r="A29" s="29"/>
    </row>
    <row r="30" spans="1:19" ht="16.5" x14ac:dyDescent="0.3">
      <c r="A30" s="29"/>
    </row>
    <row r="31" spans="1:19" ht="16.5" x14ac:dyDescent="0.3">
      <c r="A31" s="29"/>
    </row>
    <row r="32" spans="1:19" ht="16.5" x14ac:dyDescent="0.3">
      <c r="A32" s="29"/>
    </row>
    <row r="33" spans="1:1" ht="16.5" x14ac:dyDescent="0.3">
      <c r="A33" s="29" t="s">
        <v>60</v>
      </c>
    </row>
    <row r="34" spans="1:1" ht="16.5" x14ac:dyDescent="0.3">
      <c r="A34" s="29"/>
    </row>
    <row r="35" spans="1:1" ht="16.5" x14ac:dyDescent="0.3">
      <c r="A35" s="29"/>
    </row>
    <row r="36" spans="1:1" ht="16.5" x14ac:dyDescent="0.3">
      <c r="A36" s="29"/>
    </row>
    <row r="37" spans="1:1" ht="16.5" x14ac:dyDescent="0.3">
      <c r="A37" s="29"/>
    </row>
    <row r="38" spans="1:1" ht="16.5" x14ac:dyDescent="0.3">
      <c r="A38" s="29"/>
    </row>
    <row r="39" spans="1:1" ht="16.5" x14ac:dyDescent="0.3">
      <c r="A39" s="29"/>
    </row>
    <row r="40" spans="1:1" ht="16.5" x14ac:dyDescent="0.3">
      <c r="A40" s="29"/>
    </row>
    <row r="41" spans="1:1" ht="16.5" x14ac:dyDescent="0.3">
      <c r="A41" s="29"/>
    </row>
    <row r="42" spans="1:1" ht="16.5" x14ac:dyDescent="0.3">
      <c r="A42" s="29"/>
    </row>
    <row r="43" spans="1:1" ht="16.5" x14ac:dyDescent="0.3">
      <c r="A43" s="29"/>
    </row>
    <row r="44" spans="1:1" ht="16.5" x14ac:dyDescent="0.3">
      <c r="A44" s="29"/>
    </row>
    <row r="45" spans="1:1" ht="16.5" x14ac:dyDescent="0.3">
      <c r="A45" s="29"/>
    </row>
    <row r="46" spans="1:1" ht="16.5" x14ac:dyDescent="0.3">
      <c r="A46" s="29"/>
    </row>
    <row r="47" spans="1:1" ht="16.5" x14ac:dyDescent="0.3">
      <c r="A47" s="29"/>
    </row>
    <row r="48" spans="1:1" ht="16.5" x14ac:dyDescent="0.3">
      <c r="A48" s="29"/>
    </row>
    <row r="49" spans="1:1" ht="16.5" x14ac:dyDescent="0.3">
      <c r="A49" s="29"/>
    </row>
    <row r="50" spans="1:1" ht="16.5" x14ac:dyDescent="0.3">
      <c r="A50" s="29"/>
    </row>
    <row r="51" spans="1:1" ht="16.5" x14ac:dyDescent="0.3">
      <c r="A51" s="29"/>
    </row>
    <row r="52" spans="1:1" ht="16.5" x14ac:dyDescent="0.3">
      <c r="A52" s="29"/>
    </row>
    <row r="53" spans="1:1" ht="16.5" x14ac:dyDescent="0.3">
      <c r="A53" s="29"/>
    </row>
    <row r="54" spans="1:1" ht="16.5" x14ac:dyDescent="0.3">
      <c r="A54" s="29"/>
    </row>
    <row r="55" spans="1:1" ht="16.5" x14ac:dyDescent="0.3">
      <c r="A55" s="29"/>
    </row>
    <row r="56" spans="1:1" ht="16.5" x14ac:dyDescent="0.3">
      <c r="A56" s="29"/>
    </row>
    <row r="57" spans="1:1" ht="16.5" x14ac:dyDescent="0.3">
      <c r="A57" s="29"/>
    </row>
    <row r="58" spans="1:1" ht="16.5" x14ac:dyDescent="0.3">
      <c r="A58" s="29"/>
    </row>
    <row r="59" spans="1:1" ht="16.5" x14ac:dyDescent="0.3">
      <c r="A59" s="29"/>
    </row>
    <row r="60" spans="1:1" ht="16.5" x14ac:dyDescent="0.3">
      <c r="A60" s="29"/>
    </row>
    <row r="61" spans="1:1" ht="16.5" x14ac:dyDescent="0.3">
      <c r="A61" s="29"/>
    </row>
    <row r="62" spans="1:1" ht="16.5" x14ac:dyDescent="0.3">
      <c r="A62" s="29"/>
    </row>
    <row r="63" spans="1:1" ht="16.5" x14ac:dyDescent="0.3">
      <c r="A63" s="29"/>
    </row>
    <row r="64" spans="1:1" ht="16.5" x14ac:dyDescent="0.3">
      <c r="A64" s="29"/>
    </row>
    <row r="65" spans="1:1" ht="16.5" x14ac:dyDescent="0.3">
      <c r="A65" s="29" t="s">
        <v>61</v>
      </c>
    </row>
    <row r="66" spans="1:1" ht="16.5" x14ac:dyDescent="0.3">
      <c r="A66" s="29"/>
    </row>
  </sheetData>
  <sheetProtection sheet="1" objects="1" scenarios="1" selectLockedCells="1" selectUnlockedCells="1"/>
  <phoneticPr fontId="0" type="noConversion"/>
  <pageMargins left="0.75" right="0.75" top="1" bottom="1" header="0.5" footer="0.5"/>
  <pageSetup paperSize="9" scale="36" orientation="portrait" copies="9"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showRowColHeaders="0" zoomScale="80" zoomScaleNormal="80" workbookViewId="0">
      <selection activeCell="C3" sqref="C3"/>
    </sheetView>
  </sheetViews>
  <sheetFormatPr defaultColWidth="8.85546875" defaultRowHeight="12.75" x14ac:dyDescent="0.2"/>
  <sheetData>
    <row r="1" spans="1:1" ht="16.5" x14ac:dyDescent="0.3">
      <c r="A1" s="29" t="s">
        <v>64</v>
      </c>
    </row>
    <row r="39" spans="1:1" ht="16.5" x14ac:dyDescent="0.3">
      <c r="A39" s="29" t="s">
        <v>65</v>
      </c>
    </row>
  </sheetData>
  <sheetProtection sheet="1" objects="1" scenarios="1" selectLockedCells="1" selectUn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Méthode</vt:lpstr>
      <vt:lpstr>Graphiques diagnostiques</vt:lpstr>
      <vt:lpstr>Graphiques résultats</vt:lpstr>
      <vt:lpstr>Age_definition</vt:lpstr>
      <vt:lpstr>model_selection</vt:lpstr>
      <vt:lpstr>Méthode!Print_Area</vt:lpstr>
    </vt:vector>
  </TitlesOfParts>
  <Company>University of Cape Town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Tom Moultrie</dc:creator>
  <cp:lastModifiedBy>01404747</cp:lastModifiedBy>
  <cp:lastPrinted>2011-11-13T15:27:55Z</cp:lastPrinted>
  <dcterms:created xsi:type="dcterms:W3CDTF">2002-08-06T12:17:02Z</dcterms:created>
  <dcterms:modified xsi:type="dcterms:W3CDTF">2014-11-26T20:13:50Z</dcterms:modified>
</cp:coreProperties>
</file>