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15" windowWidth="19230" windowHeight="5865"/>
  </bookViews>
  <sheets>
    <sheet name="Introduction" sheetId="4" r:id="rId1"/>
    <sheet name="Modèles" sheetId="5" r:id="rId2"/>
    <sheet name="Femmes enquêtées" sheetId="1" r:id="rId3"/>
    <sheet name="Hommes enquêtés" sheetId="7" r:id="rId4"/>
    <sheet name="Graphiques" sheetId="6" r:id="rId5"/>
  </sheets>
  <externalReferences>
    <externalReference r:id="rId6"/>
  </externalReferences>
  <definedNames>
    <definedName name="Date_of_survey">'[1]Maternal orphanhood'!$R$1</definedName>
    <definedName name="MBAR" localSheetId="3">#REF!</definedName>
    <definedName name="MBAR">#REF!</definedName>
    <definedName name="MBAR_m">'[1]Paternal orphanhood'!$C$17</definedName>
    <definedName name="mbar2" localSheetId="3">#REF!</definedName>
    <definedName name="mbar2">#REF!</definedName>
    <definedName name="Model_LTs">Modèles!$B$2:$G$2</definedName>
    <definedName name="_xlnm.Print_Area" localSheetId="0">Introduction!$A$1:$D$16</definedName>
    <definedName name="SDAT" localSheetId="3">#REF!</definedName>
    <definedName name="SDAT">#REF!</definedName>
    <definedName name="SMAM" localSheetId="3">#REF!</definedName>
    <definedName name="SMAM">#REF!</definedName>
  </definedNames>
  <calcPr calcId="145621"/>
</workbook>
</file>

<file path=xl/calcChain.xml><?xml version="1.0" encoding="utf-8"?>
<calcChain xmlns="http://schemas.openxmlformats.org/spreadsheetml/2006/main">
  <c r="O53" i="7" l="1"/>
  <c r="N53" i="7"/>
  <c r="M53" i="7"/>
  <c r="F53" i="7"/>
  <c r="E53" i="7"/>
  <c r="D53" i="7"/>
  <c r="O52" i="7"/>
  <c r="N52" i="7"/>
  <c r="M52" i="7"/>
  <c r="F52" i="7"/>
  <c r="E52" i="7"/>
  <c r="D52" i="7"/>
  <c r="W51" i="7"/>
  <c r="V51" i="7"/>
  <c r="T51" i="7"/>
  <c r="S51" i="7"/>
  <c r="P51" i="7"/>
  <c r="O51" i="7"/>
  <c r="N51" i="7"/>
  <c r="M51" i="7"/>
  <c r="L51" i="7"/>
  <c r="K51" i="7"/>
  <c r="G51" i="7"/>
  <c r="F51" i="7"/>
  <c r="E51" i="7"/>
  <c r="D51" i="7"/>
  <c r="C51" i="7"/>
  <c r="B51" i="7"/>
  <c r="W50" i="7"/>
  <c r="V50" i="7"/>
  <c r="T50" i="7"/>
  <c r="S50" i="7"/>
  <c r="P50" i="7"/>
  <c r="O50" i="7"/>
  <c r="N50" i="7"/>
  <c r="M50" i="7"/>
  <c r="L50" i="7"/>
  <c r="K50" i="7"/>
  <c r="G50" i="7"/>
  <c r="F50" i="7"/>
  <c r="E50" i="7"/>
  <c r="D50" i="7"/>
  <c r="C50" i="7"/>
  <c r="B50" i="7"/>
  <c r="W49" i="7"/>
  <c r="V49" i="7"/>
  <c r="T49" i="7"/>
  <c r="S49" i="7"/>
  <c r="P49" i="7"/>
  <c r="O49" i="7"/>
  <c r="N49" i="7"/>
  <c r="M49" i="7"/>
  <c r="L49" i="7"/>
  <c r="K49" i="7"/>
  <c r="G49" i="7"/>
  <c r="F49" i="7"/>
  <c r="E49" i="7"/>
  <c r="D49" i="7"/>
  <c r="C49" i="7"/>
  <c r="B49" i="7"/>
  <c r="W48" i="7"/>
  <c r="V48" i="7"/>
  <c r="T48" i="7"/>
  <c r="S48" i="7"/>
  <c r="P48" i="7"/>
  <c r="O48" i="7"/>
  <c r="N48" i="7"/>
  <c r="M48" i="7"/>
  <c r="L48" i="7"/>
  <c r="K48" i="7"/>
  <c r="G48" i="7"/>
  <c r="F48" i="7"/>
  <c r="E48" i="7"/>
  <c r="D48" i="7"/>
  <c r="C48" i="7"/>
  <c r="B48" i="7"/>
  <c r="W47" i="7"/>
  <c r="V47" i="7"/>
  <c r="T47" i="7"/>
  <c r="S47" i="7"/>
  <c r="P47" i="7"/>
  <c r="O47" i="7"/>
  <c r="N47" i="7"/>
  <c r="M47" i="7"/>
  <c r="L47" i="7"/>
  <c r="K47" i="7"/>
  <c r="G47" i="7"/>
  <c r="F47" i="7"/>
  <c r="E47" i="7"/>
  <c r="D47" i="7"/>
  <c r="C47" i="7"/>
  <c r="B47" i="7"/>
  <c r="W46" i="7"/>
  <c r="V46" i="7"/>
  <c r="T46" i="7"/>
  <c r="S46" i="7"/>
  <c r="P46" i="7"/>
  <c r="O46" i="7"/>
  <c r="N46" i="7"/>
  <c r="M46" i="7"/>
  <c r="L46" i="7"/>
  <c r="K46" i="7"/>
  <c r="G46" i="7"/>
  <c r="F46" i="7"/>
  <c r="E46" i="7"/>
  <c r="D46" i="7"/>
  <c r="C46" i="7"/>
  <c r="B46" i="7"/>
  <c r="W45" i="7"/>
  <c r="V45" i="7"/>
  <c r="T45" i="7"/>
  <c r="S45" i="7"/>
  <c r="P45" i="7"/>
  <c r="O45" i="7"/>
  <c r="N45" i="7"/>
  <c r="M45" i="7"/>
  <c r="L45" i="7"/>
  <c r="K45" i="7"/>
  <c r="G45" i="7"/>
  <c r="F45" i="7"/>
  <c r="E45" i="7"/>
  <c r="D45" i="7"/>
  <c r="C45" i="7"/>
  <c r="B45" i="7"/>
  <c r="W44" i="7"/>
  <c r="V44" i="7"/>
  <c r="T44" i="7"/>
  <c r="S44" i="7"/>
  <c r="P44" i="7"/>
  <c r="O44" i="7"/>
  <c r="N44" i="7"/>
  <c r="M44" i="7"/>
  <c r="L44" i="7"/>
  <c r="K44" i="7"/>
  <c r="G44" i="7"/>
  <c r="F44" i="7"/>
  <c r="E44" i="7"/>
  <c r="D44" i="7"/>
  <c r="C44" i="7"/>
  <c r="B44" i="7"/>
  <c r="W43" i="7"/>
  <c r="V43" i="7"/>
  <c r="T43" i="7"/>
  <c r="S43" i="7"/>
  <c r="P43" i="7"/>
  <c r="O43" i="7"/>
  <c r="N43" i="7"/>
  <c r="M43" i="7"/>
  <c r="L43" i="7"/>
  <c r="K43" i="7"/>
  <c r="G43" i="7"/>
  <c r="F43" i="7"/>
  <c r="E43" i="7"/>
  <c r="D43" i="7"/>
  <c r="C43" i="7"/>
  <c r="B43" i="7"/>
  <c r="M42" i="7"/>
  <c r="L42" i="7"/>
  <c r="K42" i="7"/>
  <c r="D42" i="7"/>
  <c r="C42" i="7"/>
  <c r="B42" i="7"/>
  <c r="M41" i="7"/>
  <c r="L41" i="7"/>
  <c r="K41" i="7"/>
  <c r="D41" i="7"/>
  <c r="C41" i="7"/>
  <c r="B41" i="7"/>
  <c r="M40" i="7"/>
  <c r="L40" i="7"/>
  <c r="K40" i="7"/>
  <c r="D40" i="7"/>
  <c r="C40" i="7"/>
  <c r="B40" i="7"/>
  <c r="H37" i="7"/>
  <c r="Q37" i="7" s="1"/>
  <c r="O35" i="7"/>
  <c r="N35" i="7"/>
  <c r="M35" i="7"/>
  <c r="F35" i="7"/>
  <c r="E35" i="7"/>
  <c r="D35" i="7"/>
  <c r="O34" i="7"/>
  <c r="N34" i="7"/>
  <c r="M34" i="7"/>
  <c r="F34" i="7"/>
  <c r="E34" i="7"/>
  <c r="D34" i="7"/>
  <c r="W33" i="7"/>
  <c r="V33" i="7"/>
  <c r="T33" i="7"/>
  <c r="S33" i="7"/>
  <c r="P33" i="7"/>
  <c r="O33" i="7"/>
  <c r="N33" i="7"/>
  <c r="M33" i="7"/>
  <c r="G33" i="7"/>
  <c r="F33" i="7"/>
  <c r="E33" i="7"/>
  <c r="D33" i="7"/>
  <c r="W32" i="7"/>
  <c r="V32" i="7"/>
  <c r="T32" i="7"/>
  <c r="S32" i="7"/>
  <c r="P32" i="7"/>
  <c r="O32" i="7"/>
  <c r="N32" i="7"/>
  <c r="M32" i="7"/>
  <c r="G32" i="7"/>
  <c r="F32" i="7"/>
  <c r="E32" i="7"/>
  <c r="D32" i="7"/>
  <c r="W31" i="7"/>
  <c r="V31" i="7"/>
  <c r="T31" i="7"/>
  <c r="S31" i="7"/>
  <c r="P31" i="7"/>
  <c r="O31" i="7"/>
  <c r="N31" i="7"/>
  <c r="M31" i="7"/>
  <c r="G31" i="7"/>
  <c r="F31" i="7"/>
  <c r="E31" i="7"/>
  <c r="D31" i="7"/>
  <c r="W30" i="7"/>
  <c r="V30" i="7"/>
  <c r="T30" i="7"/>
  <c r="S30" i="7"/>
  <c r="P30" i="7"/>
  <c r="O30" i="7"/>
  <c r="N30" i="7"/>
  <c r="M30" i="7"/>
  <c r="G30" i="7"/>
  <c r="F30" i="7"/>
  <c r="E30" i="7"/>
  <c r="D30" i="7"/>
  <c r="W29" i="7"/>
  <c r="V29" i="7"/>
  <c r="T29" i="7"/>
  <c r="S29" i="7"/>
  <c r="P29" i="7"/>
  <c r="O29" i="7"/>
  <c r="N29" i="7"/>
  <c r="M29" i="7"/>
  <c r="G29" i="7"/>
  <c r="F29" i="7"/>
  <c r="E29" i="7"/>
  <c r="D29" i="7"/>
  <c r="W28" i="7"/>
  <c r="V28" i="7"/>
  <c r="T28" i="7"/>
  <c r="S28" i="7"/>
  <c r="P28" i="7"/>
  <c r="O28" i="7"/>
  <c r="N28" i="7"/>
  <c r="M28" i="7"/>
  <c r="G28" i="7"/>
  <c r="F28" i="7"/>
  <c r="E28" i="7"/>
  <c r="D28" i="7"/>
  <c r="W27" i="7"/>
  <c r="V27" i="7"/>
  <c r="T27" i="7"/>
  <c r="S27" i="7"/>
  <c r="P27" i="7"/>
  <c r="O27" i="7"/>
  <c r="N27" i="7"/>
  <c r="M27" i="7"/>
  <c r="G27" i="7"/>
  <c r="F27" i="7"/>
  <c r="E27" i="7"/>
  <c r="D27" i="7"/>
  <c r="W26" i="7"/>
  <c r="V26" i="7"/>
  <c r="T26" i="7"/>
  <c r="S26" i="7"/>
  <c r="P26" i="7"/>
  <c r="O26" i="7"/>
  <c r="N26" i="7"/>
  <c r="M26" i="7"/>
  <c r="G26" i="7"/>
  <c r="F26" i="7"/>
  <c r="E26" i="7"/>
  <c r="D26" i="7"/>
  <c r="W25" i="7"/>
  <c r="V25" i="7"/>
  <c r="T25" i="7"/>
  <c r="S25" i="7"/>
  <c r="P25" i="7"/>
  <c r="O25" i="7"/>
  <c r="N25" i="7"/>
  <c r="M25" i="7"/>
  <c r="G25" i="7"/>
  <c r="F25" i="7"/>
  <c r="E25" i="7"/>
  <c r="D25" i="7"/>
  <c r="M24" i="7"/>
  <c r="D24" i="7"/>
  <c r="M23" i="7"/>
  <c r="D23" i="7"/>
  <c r="M22" i="7"/>
  <c r="D22" i="7"/>
  <c r="H19" i="7"/>
  <c r="Q19" i="7" s="1"/>
  <c r="O17" i="7"/>
  <c r="N17" i="7"/>
  <c r="M17" i="7"/>
  <c r="F17" i="7"/>
  <c r="E17" i="7"/>
  <c r="D17" i="7"/>
  <c r="O16" i="7"/>
  <c r="N16" i="7"/>
  <c r="M16" i="7"/>
  <c r="F16" i="7"/>
  <c r="E16" i="7"/>
  <c r="D16" i="7"/>
  <c r="W15" i="7"/>
  <c r="V15" i="7"/>
  <c r="T15" i="7"/>
  <c r="S15" i="7"/>
  <c r="P15" i="7"/>
  <c r="O15" i="7"/>
  <c r="N15" i="7"/>
  <c r="M15" i="7"/>
  <c r="G15" i="7"/>
  <c r="F15" i="7"/>
  <c r="E15" i="7"/>
  <c r="D15" i="7"/>
  <c r="W14" i="7"/>
  <c r="V14" i="7"/>
  <c r="T14" i="7"/>
  <c r="S14" i="7"/>
  <c r="P14" i="7"/>
  <c r="O14" i="7"/>
  <c r="N14" i="7"/>
  <c r="M14" i="7"/>
  <c r="G14" i="7"/>
  <c r="F14" i="7"/>
  <c r="E14" i="7"/>
  <c r="D14" i="7"/>
  <c r="W13" i="7"/>
  <c r="V13" i="7"/>
  <c r="T13" i="7"/>
  <c r="S13" i="7"/>
  <c r="P13" i="7"/>
  <c r="O13" i="7"/>
  <c r="N13" i="7"/>
  <c r="M13" i="7"/>
  <c r="G13" i="7"/>
  <c r="F13" i="7"/>
  <c r="E13" i="7"/>
  <c r="D13" i="7"/>
  <c r="W12" i="7"/>
  <c r="V12" i="7"/>
  <c r="T12" i="7"/>
  <c r="S12" i="7"/>
  <c r="P12" i="7"/>
  <c r="O12" i="7"/>
  <c r="N12" i="7"/>
  <c r="M12" i="7"/>
  <c r="G12" i="7"/>
  <c r="F12" i="7"/>
  <c r="E12" i="7"/>
  <c r="D12" i="7"/>
  <c r="W11" i="7"/>
  <c r="V11" i="7"/>
  <c r="T11" i="7"/>
  <c r="S11" i="7"/>
  <c r="P11" i="7"/>
  <c r="O11" i="7"/>
  <c r="N11" i="7"/>
  <c r="M11" i="7"/>
  <c r="G11" i="7"/>
  <c r="F11" i="7"/>
  <c r="E11" i="7"/>
  <c r="D11" i="7"/>
  <c r="W10" i="7"/>
  <c r="V10" i="7"/>
  <c r="T10" i="7"/>
  <c r="S10" i="7"/>
  <c r="P10" i="7"/>
  <c r="O10" i="7"/>
  <c r="N10" i="7"/>
  <c r="M10" i="7"/>
  <c r="G10" i="7"/>
  <c r="F10" i="7"/>
  <c r="E10" i="7"/>
  <c r="D10" i="7"/>
  <c r="W9" i="7"/>
  <c r="V9" i="7"/>
  <c r="T9" i="7"/>
  <c r="S9" i="7"/>
  <c r="P9" i="7"/>
  <c r="O9" i="7"/>
  <c r="N9" i="7"/>
  <c r="M9" i="7"/>
  <c r="G9" i="7"/>
  <c r="F9" i="7"/>
  <c r="E9" i="7"/>
  <c r="D9" i="7"/>
  <c r="W8" i="7"/>
  <c r="V8" i="7"/>
  <c r="T8" i="7"/>
  <c r="S8" i="7"/>
  <c r="P8" i="7"/>
  <c r="O8" i="7"/>
  <c r="N8" i="7"/>
  <c r="M8" i="7"/>
  <c r="G8" i="7"/>
  <c r="F8" i="7"/>
  <c r="E8" i="7"/>
  <c r="D8" i="7"/>
  <c r="W7" i="7"/>
  <c r="V7" i="7"/>
  <c r="T7" i="7"/>
  <c r="S7" i="7"/>
  <c r="P7" i="7"/>
  <c r="O7" i="7"/>
  <c r="N7" i="7"/>
  <c r="M7" i="7"/>
  <c r="G7" i="7"/>
  <c r="F7" i="7"/>
  <c r="E7" i="7"/>
  <c r="D7" i="7"/>
  <c r="M6" i="7"/>
  <c r="D6" i="7"/>
  <c r="M5" i="7"/>
  <c r="D5" i="7"/>
  <c r="M4" i="7"/>
  <c r="D4" i="7"/>
  <c r="J1" i="7"/>
  <c r="H1" i="7"/>
  <c r="Q1" i="7" s="1"/>
  <c r="A1" i="7"/>
  <c r="O53" i="1"/>
  <c r="N53" i="1"/>
  <c r="M53" i="1"/>
  <c r="F53" i="1"/>
  <c r="E53" i="1"/>
  <c r="D53" i="1"/>
  <c r="O52" i="1"/>
  <c r="N52" i="1"/>
  <c r="M52" i="1"/>
  <c r="F52" i="1"/>
  <c r="E52" i="1"/>
  <c r="D52" i="1"/>
  <c r="W51" i="1"/>
  <c r="V51" i="1"/>
  <c r="T51" i="1"/>
  <c r="S51" i="1"/>
  <c r="P51" i="1"/>
  <c r="O51" i="1"/>
  <c r="N51" i="1"/>
  <c r="M51" i="1"/>
  <c r="L51" i="1"/>
  <c r="K51" i="1"/>
  <c r="G51" i="1"/>
  <c r="F51" i="1"/>
  <c r="E51" i="1"/>
  <c r="D51" i="1"/>
  <c r="C51" i="1"/>
  <c r="B51" i="1"/>
  <c r="W50" i="1"/>
  <c r="V50" i="1"/>
  <c r="T50" i="1"/>
  <c r="S50" i="1"/>
  <c r="P50" i="1"/>
  <c r="O50" i="1"/>
  <c r="N50" i="1"/>
  <c r="M50" i="1"/>
  <c r="L50" i="1"/>
  <c r="K50" i="1"/>
  <c r="G50" i="1"/>
  <c r="F50" i="1"/>
  <c r="E50" i="1"/>
  <c r="D50" i="1"/>
  <c r="C50" i="1"/>
  <c r="B50" i="1"/>
  <c r="W49" i="1"/>
  <c r="V49" i="1"/>
  <c r="T49" i="1"/>
  <c r="S49" i="1"/>
  <c r="P49" i="1"/>
  <c r="O49" i="1"/>
  <c r="N49" i="1"/>
  <c r="M49" i="1"/>
  <c r="L49" i="1"/>
  <c r="K49" i="1"/>
  <c r="G49" i="1"/>
  <c r="F49" i="1"/>
  <c r="E49" i="1"/>
  <c r="D49" i="1"/>
  <c r="C49" i="1"/>
  <c r="B49" i="1"/>
  <c r="W48" i="1"/>
  <c r="V48" i="1"/>
  <c r="T48" i="1"/>
  <c r="S48" i="1"/>
  <c r="P48" i="1"/>
  <c r="O48" i="1"/>
  <c r="N48" i="1"/>
  <c r="M48" i="1"/>
  <c r="L48" i="1"/>
  <c r="K48" i="1"/>
  <c r="G48" i="1"/>
  <c r="F48" i="1"/>
  <c r="E48" i="1"/>
  <c r="D48" i="1"/>
  <c r="C48" i="1"/>
  <c r="B48" i="1"/>
  <c r="W47" i="1"/>
  <c r="V47" i="1"/>
  <c r="T47" i="1"/>
  <c r="S47" i="1"/>
  <c r="P47" i="1"/>
  <c r="O47" i="1"/>
  <c r="N47" i="1"/>
  <c r="M47" i="1"/>
  <c r="L47" i="1"/>
  <c r="K47" i="1"/>
  <c r="G47" i="1"/>
  <c r="F47" i="1"/>
  <c r="E47" i="1"/>
  <c r="D47" i="1"/>
  <c r="C47" i="1"/>
  <c r="B47" i="1"/>
  <c r="W46" i="1"/>
  <c r="V46" i="1"/>
  <c r="T46" i="1"/>
  <c r="S46" i="1"/>
  <c r="P46" i="1"/>
  <c r="O46" i="1"/>
  <c r="N46" i="1"/>
  <c r="M46" i="1"/>
  <c r="L46" i="1"/>
  <c r="K46" i="1"/>
  <c r="G46" i="1"/>
  <c r="F46" i="1"/>
  <c r="E46" i="1"/>
  <c r="D46" i="1"/>
  <c r="C46" i="1"/>
  <c r="B46" i="1"/>
  <c r="W45" i="1"/>
  <c r="V45" i="1"/>
  <c r="T45" i="1"/>
  <c r="S45" i="1"/>
  <c r="P45" i="1"/>
  <c r="O45" i="1"/>
  <c r="N45" i="1"/>
  <c r="M45" i="1"/>
  <c r="L45" i="1"/>
  <c r="K45" i="1"/>
  <c r="G45" i="1"/>
  <c r="F45" i="1"/>
  <c r="E45" i="1"/>
  <c r="D45" i="1"/>
  <c r="C45" i="1"/>
  <c r="B45" i="1"/>
  <c r="W44" i="1"/>
  <c r="V44" i="1"/>
  <c r="T44" i="1"/>
  <c r="S44" i="1"/>
  <c r="P44" i="1"/>
  <c r="O44" i="1"/>
  <c r="N44" i="1"/>
  <c r="M44" i="1"/>
  <c r="L44" i="1"/>
  <c r="K44" i="1"/>
  <c r="G44" i="1"/>
  <c r="F44" i="1"/>
  <c r="E44" i="1"/>
  <c r="D44" i="1"/>
  <c r="C44" i="1"/>
  <c r="B44" i="1"/>
  <c r="W43" i="1"/>
  <c r="V43" i="1"/>
  <c r="T43" i="1"/>
  <c r="S43" i="1"/>
  <c r="P43" i="1"/>
  <c r="O43" i="1"/>
  <c r="N43" i="1"/>
  <c r="M43" i="1"/>
  <c r="L43" i="1"/>
  <c r="K43" i="1"/>
  <c r="G43" i="1"/>
  <c r="F43" i="1"/>
  <c r="E43" i="1"/>
  <c r="D43" i="1"/>
  <c r="C43" i="1"/>
  <c r="B43" i="1"/>
  <c r="M42" i="1"/>
  <c r="L42" i="1"/>
  <c r="K42" i="1"/>
  <c r="D42" i="1"/>
  <c r="C42" i="1"/>
  <c r="B42" i="1"/>
  <c r="M41" i="1"/>
  <c r="L41" i="1"/>
  <c r="K41" i="1"/>
  <c r="D41" i="1"/>
  <c r="C41" i="1"/>
  <c r="B41" i="1"/>
  <c r="M40" i="1"/>
  <c r="L40" i="1"/>
  <c r="K40" i="1"/>
  <c r="D40" i="1"/>
  <c r="C40" i="1"/>
  <c r="B40" i="1"/>
  <c r="H37" i="1"/>
  <c r="Q37" i="1" s="1"/>
  <c r="O35" i="1"/>
  <c r="N35" i="1"/>
  <c r="M35" i="1"/>
  <c r="F35" i="1"/>
  <c r="E35" i="1"/>
  <c r="D35" i="1"/>
  <c r="O34" i="1"/>
  <c r="N34" i="1"/>
  <c r="M34" i="1"/>
  <c r="F34" i="1"/>
  <c r="E34" i="1"/>
  <c r="D34" i="1"/>
  <c r="W33" i="1"/>
  <c r="V33" i="1"/>
  <c r="T33" i="1"/>
  <c r="S33" i="1"/>
  <c r="P33" i="1"/>
  <c r="O33" i="1"/>
  <c r="N33" i="1"/>
  <c r="M33" i="1"/>
  <c r="G33" i="1"/>
  <c r="F33" i="1"/>
  <c r="E33" i="1"/>
  <c r="D33" i="1"/>
  <c r="W32" i="1"/>
  <c r="V32" i="1"/>
  <c r="T32" i="1"/>
  <c r="S32" i="1"/>
  <c r="P32" i="1"/>
  <c r="O32" i="1"/>
  <c r="N32" i="1"/>
  <c r="M32" i="1"/>
  <c r="G32" i="1"/>
  <c r="F32" i="1"/>
  <c r="E32" i="1"/>
  <c r="D32" i="1"/>
  <c r="W31" i="1"/>
  <c r="V31" i="1"/>
  <c r="T31" i="1"/>
  <c r="S31" i="1"/>
  <c r="P31" i="1"/>
  <c r="O31" i="1"/>
  <c r="N31" i="1"/>
  <c r="M31" i="1"/>
  <c r="G31" i="1"/>
  <c r="F31" i="1"/>
  <c r="E31" i="1"/>
  <c r="D31" i="1"/>
  <c r="W30" i="1"/>
  <c r="V30" i="1"/>
  <c r="T30" i="1"/>
  <c r="S30" i="1"/>
  <c r="P30" i="1"/>
  <c r="O30" i="1"/>
  <c r="N30" i="1"/>
  <c r="M30" i="1"/>
  <c r="G30" i="1"/>
  <c r="F30" i="1"/>
  <c r="E30" i="1"/>
  <c r="D30" i="1"/>
  <c r="W29" i="1"/>
  <c r="V29" i="1"/>
  <c r="T29" i="1"/>
  <c r="S29" i="1"/>
  <c r="P29" i="1"/>
  <c r="O29" i="1"/>
  <c r="N29" i="1"/>
  <c r="M29" i="1"/>
  <c r="G29" i="1"/>
  <c r="F29" i="1"/>
  <c r="E29" i="1"/>
  <c r="D29" i="1"/>
  <c r="W28" i="1"/>
  <c r="V28" i="1"/>
  <c r="T28" i="1"/>
  <c r="S28" i="1"/>
  <c r="P28" i="1"/>
  <c r="O28" i="1"/>
  <c r="N28" i="1"/>
  <c r="M28" i="1"/>
  <c r="G28" i="1"/>
  <c r="F28" i="1"/>
  <c r="E28" i="1"/>
  <c r="D28" i="1"/>
  <c r="W27" i="1"/>
  <c r="V27" i="1"/>
  <c r="T27" i="1"/>
  <c r="S27" i="1"/>
  <c r="P27" i="1"/>
  <c r="O27" i="1"/>
  <c r="N27" i="1"/>
  <c r="M27" i="1"/>
  <c r="G27" i="1"/>
  <c r="F27" i="1"/>
  <c r="E27" i="1"/>
  <c r="D27" i="1"/>
  <c r="W26" i="1"/>
  <c r="V26" i="1"/>
  <c r="T26" i="1"/>
  <c r="S26" i="1"/>
  <c r="P26" i="1"/>
  <c r="O26" i="1"/>
  <c r="N26" i="1"/>
  <c r="M26" i="1"/>
  <c r="G26" i="1"/>
  <c r="F26" i="1"/>
  <c r="E26" i="1"/>
  <c r="D26" i="1"/>
  <c r="W25" i="1"/>
  <c r="V25" i="1"/>
  <c r="T25" i="1"/>
  <c r="S25" i="1"/>
  <c r="P25" i="1"/>
  <c r="O25" i="1"/>
  <c r="N25" i="1"/>
  <c r="M25" i="1"/>
  <c r="G25" i="1"/>
  <c r="F25" i="1"/>
  <c r="E25" i="1"/>
  <c r="D25" i="1"/>
  <c r="M24" i="1"/>
  <c r="D24" i="1"/>
  <c r="M23" i="1"/>
  <c r="D23" i="1"/>
  <c r="M22" i="1"/>
  <c r="D22" i="1"/>
  <c r="H19" i="1"/>
  <c r="Q19" i="1" s="1"/>
  <c r="O17" i="1"/>
  <c r="N17" i="1"/>
  <c r="M17" i="1"/>
  <c r="F17" i="1"/>
  <c r="E17" i="1"/>
  <c r="D17" i="1"/>
  <c r="O16" i="1"/>
  <c r="N16" i="1"/>
  <c r="M16" i="1"/>
  <c r="F16" i="1"/>
  <c r="E16" i="1"/>
  <c r="D16" i="1"/>
  <c r="W15" i="1"/>
  <c r="V15" i="1"/>
  <c r="T15" i="1"/>
  <c r="S15" i="1"/>
  <c r="P15" i="1"/>
  <c r="O15" i="1"/>
  <c r="N15" i="1"/>
  <c r="M15" i="1"/>
  <c r="G15" i="1"/>
  <c r="F15" i="1"/>
  <c r="E15" i="1"/>
  <c r="D15" i="1"/>
  <c r="W14" i="1"/>
  <c r="V14" i="1"/>
  <c r="T14" i="1"/>
  <c r="S14" i="1"/>
  <c r="P14" i="1"/>
  <c r="O14" i="1"/>
  <c r="N14" i="1"/>
  <c r="M14" i="1"/>
  <c r="G14" i="1"/>
  <c r="F14" i="1"/>
  <c r="E14" i="1"/>
  <c r="D14" i="1"/>
  <c r="W13" i="1"/>
  <c r="V13" i="1"/>
  <c r="T13" i="1"/>
  <c r="S13" i="1"/>
  <c r="P13" i="1"/>
  <c r="O13" i="1"/>
  <c r="N13" i="1"/>
  <c r="M13" i="1"/>
  <c r="G13" i="1"/>
  <c r="F13" i="1"/>
  <c r="E13" i="1"/>
  <c r="D13" i="1"/>
  <c r="W12" i="1"/>
  <c r="V12" i="1"/>
  <c r="T12" i="1"/>
  <c r="S12" i="1"/>
  <c r="P12" i="1"/>
  <c r="O12" i="1"/>
  <c r="N12" i="1"/>
  <c r="M12" i="1"/>
  <c r="G12" i="1"/>
  <c r="F12" i="1"/>
  <c r="E12" i="1"/>
  <c r="D12" i="1"/>
  <c r="W11" i="1"/>
  <c r="V11" i="1"/>
  <c r="T11" i="1"/>
  <c r="S11" i="1"/>
  <c r="P11" i="1"/>
  <c r="O11" i="1"/>
  <c r="N11" i="1"/>
  <c r="M11" i="1"/>
  <c r="G11" i="1"/>
  <c r="F11" i="1"/>
  <c r="E11" i="1"/>
  <c r="D11" i="1"/>
  <c r="W10" i="1"/>
  <c r="V10" i="1"/>
  <c r="T10" i="1"/>
  <c r="S10" i="1"/>
  <c r="P10" i="1"/>
  <c r="O10" i="1"/>
  <c r="N10" i="1"/>
  <c r="M10" i="1"/>
  <c r="G10" i="1"/>
  <c r="F10" i="1"/>
  <c r="E10" i="1"/>
  <c r="D10" i="1"/>
  <c r="W9" i="1"/>
  <c r="V9" i="1"/>
  <c r="T9" i="1"/>
  <c r="S9" i="1"/>
  <c r="P9" i="1"/>
  <c r="O9" i="1"/>
  <c r="N9" i="1"/>
  <c r="M9" i="1"/>
  <c r="G9" i="1"/>
  <c r="F9" i="1"/>
  <c r="E9" i="1"/>
  <c r="D9" i="1"/>
  <c r="W8" i="1"/>
  <c r="V8" i="1"/>
  <c r="T8" i="1"/>
  <c r="S8" i="1"/>
  <c r="P8" i="1"/>
  <c r="O8" i="1"/>
  <c r="N8" i="1"/>
  <c r="M8" i="1"/>
  <c r="G8" i="1"/>
  <c r="F8" i="1"/>
  <c r="E8" i="1"/>
  <c r="D8" i="1"/>
  <c r="W7" i="1"/>
  <c r="V7" i="1"/>
  <c r="T7" i="1"/>
  <c r="S7" i="1"/>
  <c r="P7" i="1"/>
  <c r="O7" i="1"/>
  <c r="N7" i="1"/>
  <c r="M7" i="1"/>
  <c r="G7" i="1"/>
  <c r="F7" i="1"/>
  <c r="E7" i="1"/>
  <c r="D7" i="1"/>
  <c r="M6" i="1"/>
  <c r="D6" i="1"/>
  <c r="M5" i="1"/>
  <c r="D5" i="1"/>
  <c r="M4" i="1"/>
  <c r="D4" i="1"/>
  <c r="H1" i="1"/>
  <c r="Q1" i="1" s="1"/>
  <c r="A1" i="1"/>
  <c r="J1" i="1" s="1"/>
  <c r="B32" i="5"/>
  <c r="C32" i="5" s="1"/>
  <c r="B31" i="5"/>
  <c r="C31" i="5" s="1"/>
  <c r="B30" i="5"/>
  <c r="C30" i="5" s="1"/>
  <c r="B29" i="5"/>
  <c r="C29" i="5" s="1"/>
  <c r="B28" i="5"/>
  <c r="C28" i="5" s="1"/>
  <c r="B27" i="5"/>
  <c r="C27" i="5" s="1"/>
  <c r="B26" i="5"/>
  <c r="C26" i="5" s="1"/>
  <c r="B25" i="5"/>
  <c r="C25" i="5" s="1"/>
  <c r="B24" i="5"/>
  <c r="C24" i="5" s="1"/>
  <c r="B23" i="5"/>
  <c r="C23" i="5" s="1"/>
  <c r="D23" i="5" s="1"/>
  <c r="B21" i="5"/>
  <c r="D32" i="5" l="1"/>
  <c r="E32" i="5" s="1"/>
  <c r="D31" i="5"/>
  <c r="E31" i="5" s="1"/>
  <c r="D30" i="5"/>
  <c r="E30" i="5" s="1"/>
  <c r="D29" i="5"/>
  <c r="E29" i="5" s="1"/>
  <c r="D28" i="5"/>
  <c r="E28" i="5" s="1"/>
  <c r="D27" i="5"/>
  <c r="E27" i="5" s="1"/>
  <c r="D26" i="5"/>
  <c r="E26" i="5" s="1"/>
  <c r="D25" i="5"/>
  <c r="E25" i="5" s="1"/>
  <c r="D24" i="5"/>
  <c r="E24" i="5" s="1"/>
  <c r="P53" i="7" l="1"/>
  <c r="P34" i="7"/>
  <c r="P17" i="7"/>
  <c r="P53" i="1"/>
  <c r="P34" i="1"/>
  <c r="P17" i="1"/>
  <c r="P35" i="7"/>
  <c r="P16" i="7"/>
  <c r="P52" i="1"/>
  <c r="P35" i="1"/>
  <c r="P16" i="1"/>
  <c r="G53" i="7"/>
  <c r="G34" i="7"/>
  <c r="G17" i="7"/>
  <c r="G53" i="1"/>
  <c r="G34" i="1"/>
  <c r="G17" i="1"/>
  <c r="P52" i="7"/>
  <c r="G52" i="1"/>
  <c r="G35" i="1"/>
  <c r="G16" i="7"/>
  <c r="G16" i="1"/>
  <c r="G52" i="7"/>
  <c r="G35" i="7"/>
  <c r="H15" i="7" l="1"/>
  <c r="H17" i="7" s="1"/>
  <c r="H13" i="7"/>
  <c r="H16" i="7" s="1"/>
  <c r="H11" i="7"/>
  <c r="H9" i="7"/>
  <c r="H7" i="7"/>
  <c r="H14" i="7"/>
  <c r="H12" i="7"/>
  <c r="H10" i="7"/>
  <c r="H8" i="7"/>
  <c r="H32" i="7"/>
  <c r="H30" i="7"/>
  <c r="H28" i="7"/>
  <c r="H26" i="7"/>
  <c r="H33" i="7"/>
  <c r="H35" i="7" s="1"/>
  <c r="H31" i="7"/>
  <c r="H34" i="7" s="1"/>
  <c r="H29" i="7"/>
  <c r="H27" i="7"/>
  <c r="H25" i="7"/>
  <c r="Q50" i="1"/>
  <c r="Q48" i="1"/>
  <c r="Q46" i="1"/>
  <c r="Q44" i="1"/>
  <c r="Q51" i="1"/>
  <c r="Q53" i="1" s="1"/>
  <c r="Q43" i="1"/>
  <c r="Q47" i="1"/>
  <c r="Q49" i="1"/>
  <c r="Q52" i="1" s="1"/>
  <c r="Q45" i="1"/>
  <c r="Q33" i="1"/>
  <c r="Q35" i="1" s="1"/>
  <c r="Q31" i="1"/>
  <c r="Q34" i="1" s="1"/>
  <c r="Q29" i="1"/>
  <c r="Q27" i="1"/>
  <c r="Q25" i="1"/>
  <c r="Q30" i="1"/>
  <c r="Q26" i="1"/>
  <c r="Q28" i="1"/>
  <c r="Q32" i="1"/>
  <c r="H32" i="1"/>
  <c r="H30" i="1"/>
  <c r="H28" i="1"/>
  <c r="H26" i="1"/>
  <c r="H33" i="1"/>
  <c r="H35" i="1" s="1"/>
  <c r="H31" i="1"/>
  <c r="H34" i="1" s="1"/>
  <c r="H29" i="1"/>
  <c r="H27" i="1"/>
  <c r="H25" i="1"/>
  <c r="Q14" i="7"/>
  <c r="Q12" i="7"/>
  <c r="Q10" i="7"/>
  <c r="Q8" i="7"/>
  <c r="Q13" i="7"/>
  <c r="Q16" i="7" s="1"/>
  <c r="Q9" i="7"/>
  <c r="Q11" i="7"/>
  <c r="Q15" i="7"/>
  <c r="Q17" i="7" s="1"/>
  <c r="Q7" i="7"/>
  <c r="H50" i="7"/>
  <c r="H48" i="7"/>
  <c r="H46" i="7"/>
  <c r="H44" i="7"/>
  <c r="H51" i="7"/>
  <c r="H53" i="7" s="1"/>
  <c r="H49" i="7"/>
  <c r="H52" i="7" s="1"/>
  <c r="H47" i="7"/>
  <c r="H45" i="7"/>
  <c r="H43" i="7"/>
  <c r="H50" i="1"/>
  <c r="H48" i="1"/>
  <c r="H46" i="1"/>
  <c r="H44" i="1"/>
  <c r="H51" i="1"/>
  <c r="H53" i="1" s="1"/>
  <c r="H49" i="1"/>
  <c r="H52" i="1" s="1"/>
  <c r="H47" i="1"/>
  <c r="H45" i="1"/>
  <c r="H43" i="1"/>
  <c r="Q14" i="1"/>
  <c r="Q12" i="1"/>
  <c r="Q10" i="1"/>
  <c r="Q8" i="1"/>
  <c r="Q7" i="1"/>
  <c r="Q15" i="1"/>
  <c r="Q17" i="1" s="1"/>
  <c r="Q9" i="1"/>
  <c r="Q13" i="1"/>
  <c r="Q16" i="1" s="1"/>
  <c r="Q11" i="1"/>
  <c r="H15" i="1"/>
  <c r="H17" i="1" s="1"/>
  <c r="H13" i="1"/>
  <c r="H16" i="1" s="1"/>
  <c r="H11" i="1"/>
  <c r="H9" i="1"/>
  <c r="H7" i="1"/>
  <c r="H14" i="1"/>
  <c r="H12" i="1"/>
  <c r="H10" i="1"/>
  <c r="H8" i="1"/>
  <c r="Q50" i="7"/>
  <c r="Q48" i="7"/>
  <c r="Q46" i="7"/>
  <c r="Q44" i="7"/>
  <c r="Q47" i="7"/>
  <c r="Q49" i="7"/>
  <c r="Q52" i="7" s="1"/>
  <c r="Q45" i="7"/>
  <c r="Q51" i="7"/>
  <c r="Q53" i="7" s="1"/>
  <c r="Q43" i="7"/>
  <c r="Q33" i="7"/>
  <c r="Q35" i="7" s="1"/>
  <c r="Q31" i="7"/>
  <c r="Q34" i="7" s="1"/>
  <c r="Q29" i="7"/>
  <c r="Q27" i="7"/>
  <c r="Q25" i="7"/>
  <c r="Q26" i="7"/>
  <c r="Q28" i="7"/>
  <c r="Q32" i="7"/>
  <c r="Q30" i="7"/>
</calcChain>
</file>

<file path=xl/comments1.xml><?xml version="1.0" encoding="utf-8"?>
<comments xmlns="http://schemas.openxmlformats.org/spreadsheetml/2006/main">
  <authors>
    <author>Ian Timaeus</author>
  </authors>
  <commentList>
    <comment ref="G2" authorId="0">
      <text>
        <r>
          <rPr>
            <sz val="8"/>
            <color indexed="81"/>
            <rFont val="Tahoma"/>
            <family val="2"/>
          </rPr>
          <t xml:space="preserve">'Pour utiliser une autre table type de mortalité, sélectionnez «Autre» (cellule D11) sur l'Introduction et entrez ses logits dans ces cellules.
</t>
        </r>
      </text>
    </comment>
  </commentList>
</comments>
</file>

<file path=xl/sharedStrings.xml><?xml version="1.0" encoding="utf-8"?>
<sst xmlns="http://schemas.openxmlformats.org/spreadsheetml/2006/main" count="206" uniqueCount="64">
  <si>
    <t>Age</t>
  </si>
  <si>
    <r>
      <rPr>
        <b/>
        <vertAlign val="subscript"/>
        <sz val="11"/>
        <rFont val="Arial Narrow"/>
        <family val="2"/>
      </rPr>
      <t>5</t>
    </r>
    <r>
      <rPr>
        <b/>
        <i/>
        <sz val="11"/>
        <rFont val="Arial Narrow"/>
        <family val="2"/>
      </rPr>
      <t>p</t>
    </r>
    <r>
      <rPr>
        <b/>
        <vertAlign val="subscript"/>
        <sz val="11"/>
        <rFont val="Arial Narrow"/>
        <family val="2"/>
      </rPr>
      <t>x</t>
    </r>
  </si>
  <si>
    <r>
      <rPr>
        <b/>
        <i/>
        <vertAlign val="subscript"/>
        <sz val="11"/>
        <rFont val="Arial Narrow"/>
        <family val="2"/>
      </rPr>
      <t>x-10</t>
    </r>
    <r>
      <rPr>
        <b/>
        <i/>
        <sz val="11"/>
        <rFont val="Arial Narrow"/>
        <family val="2"/>
      </rPr>
      <t>p</t>
    </r>
    <r>
      <rPr>
        <b/>
        <vertAlign val="subscript"/>
        <sz val="11"/>
        <rFont val="Arial Narrow"/>
        <family val="2"/>
      </rPr>
      <t>15</t>
    </r>
  </si>
  <si>
    <t>(x)</t>
  </si>
  <si>
    <t>1)</t>
  </si>
  <si>
    <t>2)</t>
  </si>
  <si>
    <t>3)</t>
  </si>
  <si>
    <t>4)</t>
  </si>
  <si>
    <r>
      <rPr>
        <b/>
        <vertAlign val="subscript"/>
        <sz val="11"/>
        <rFont val="Arial Narrow"/>
        <family val="2"/>
      </rPr>
      <t>35</t>
    </r>
    <r>
      <rPr>
        <b/>
        <i/>
        <sz val="11"/>
        <rFont val="Arial Narrow"/>
        <family val="2"/>
      </rPr>
      <t>q</t>
    </r>
    <r>
      <rPr>
        <b/>
        <vertAlign val="subscript"/>
        <sz val="11"/>
        <rFont val="Arial Narrow"/>
        <family val="2"/>
      </rPr>
      <t>15</t>
    </r>
    <r>
      <rPr>
        <b/>
        <sz val="11"/>
        <rFont val="Arial Narrow"/>
        <family val="2"/>
      </rPr>
      <t xml:space="preserve"> (95% CI)</t>
    </r>
  </si>
  <si>
    <r>
      <rPr>
        <b/>
        <vertAlign val="subscript"/>
        <sz val="11"/>
        <rFont val="Arial Narrow"/>
        <family val="2"/>
      </rPr>
      <t>45</t>
    </r>
    <r>
      <rPr>
        <b/>
        <i/>
        <sz val="11"/>
        <rFont val="Arial Narrow"/>
        <family val="2"/>
      </rPr>
      <t>q</t>
    </r>
    <r>
      <rPr>
        <b/>
        <vertAlign val="subscript"/>
        <sz val="11"/>
        <rFont val="Arial Narrow"/>
        <family val="2"/>
      </rPr>
      <t>15</t>
    </r>
    <r>
      <rPr>
        <b/>
        <sz val="11"/>
        <rFont val="Arial Narrow"/>
        <family val="2"/>
      </rPr>
      <t xml:space="preserve"> (95% CI)</t>
    </r>
  </si>
  <si>
    <t>Standard life table</t>
  </si>
  <si>
    <r>
      <rPr>
        <sz val="10"/>
        <rFont val="Calibri"/>
        <family val="2"/>
      </rPr>
      <t>α</t>
    </r>
    <r>
      <rPr>
        <sz val="10"/>
        <rFont val="Arial"/>
        <family val="2"/>
      </rPr>
      <t xml:space="preserve"> =</t>
    </r>
  </si>
  <si>
    <r>
      <rPr>
        <sz val="10"/>
        <rFont val="Calibri"/>
        <family val="2"/>
      </rPr>
      <t>β</t>
    </r>
    <r>
      <rPr>
        <sz val="10"/>
        <rFont val="Arial"/>
        <family val="2"/>
      </rPr>
      <t xml:space="preserve"> =</t>
    </r>
  </si>
  <si>
    <r>
      <rPr>
        <b/>
        <i/>
        <sz val="11"/>
        <rFont val="Arial Narrow"/>
        <family val="2"/>
      </rPr>
      <t>Y</t>
    </r>
    <r>
      <rPr>
        <b/>
        <vertAlign val="subscript"/>
        <sz val="11"/>
        <rFont val="Arial Narrow"/>
        <family val="2"/>
      </rPr>
      <t>s</t>
    </r>
    <r>
      <rPr>
        <b/>
        <sz val="11"/>
        <rFont val="Arial Narrow"/>
        <family val="2"/>
      </rPr>
      <t>(</t>
    </r>
    <r>
      <rPr>
        <b/>
        <i/>
        <sz val="11"/>
        <rFont val="Arial Narrow"/>
        <family val="2"/>
      </rPr>
      <t>x</t>
    </r>
    <r>
      <rPr>
        <b/>
        <sz val="11"/>
        <rFont val="Arial Narrow"/>
        <family val="2"/>
      </rPr>
      <t>)</t>
    </r>
  </si>
  <si>
    <r>
      <rPr>
        <b/>
        <i/>
        <sz val="11"/>
        <rFont val="Arial Narrow"/>
        <family val="2"/>
      </rPr>
      <t>Y</t>
    </r>
    <r>
      <rPr>
        <b/>
        <sz val="11"/>
        <rFont val="Arial Narrow"/>
        <family val="2"/>
      </rPr>
      <t>(</t>
    </r>
    <r>
      <rPr>
        <b/>
        <i/>
        <sz val="11"/>
        <rFont val="Arial Narrow"/>
        <family val="2"/>
      </rPr>
      <t>x</t>
    </r>
    <r>
      <rPr>
        <b/>
        <sz val="11"/>
        <rFont val="Arial Narrow"/>
        <family val="2"/>
      </rPr>
      <t>)</t>
    </r>
  </si>
  <si>
    <r>
      <rPr>
        <b/>
        <i/>
        <vertAlign val="subscript"/>
        <sz val="11"/>
        <rFont val="Arial Narrow"/>
        <family val="2"/>
      </rPr>
      <t>x-10</t>
    </r>
    <r>
      <rPr>
        <b/>
        <i/>
        <sz val="11"/>
        <rFont val="Arial Narrow"/>
        <family val="2"/>
      </rPr>
      <t>Y</t>
    </r>
    <r>
      <rPr>
        <b/>
        <vertAlign val="subscript"/>
        <sz val="11"/>
        <rFont val="Arial Narrow"/>
        <family val="2"/>
      </rPr>
      <t>15</t>
    </r>
  </si>
  <si>
    <t>5)</t>
  </si>
  <si>
    <t>6)</t>
  </si>
  <si>
    <t>7)</t>
  </si>
  <si>
    <t>Estimation directe de la mortalité des adultes à partir de la survie des frères et des sœurs  - Instructions</t>
  </si>
  <si>
    <t xml:space="preserve">Cette méthode est décrite sur le site web suivant: </t>
  </si>
  <si>
    <t>Cette feuille de calcul analyse les taux de mortalité selon l'âge et la période calculés à partir des histoires de fratries collectées rétrospectivement par de nombreuses Enquêtes Démographiques et de Santé et par d’autres enquêtes.</t>
  </si>
  <si>
    <t>Saisie des données</t>
  </si>
  <si>
    <t>Paramètres de base</t>
  </si>
  <si>
    <t>Nom du pays/population</t>
  </si>
  <si>
    <t>Choisir la table-type de mortalité</t>
  </si>
  <si>
    <t>Durée en années de la période la plus récente</t>
  </si>
  <si>
    <t>Durée en années de la période la plus ancienne</t>
  </si>
  <si>
    <t>Entrez dans la cellule à droite, la date moyenne de l'enquête ou la date du milieu de la période de la collecte de données sur le terrain.</t>
  </si>
  <si>
    <t>Entrez  à la droite de cette cellule la durée en années de la période précédente pour laquelle vous avez extrait les données sur les décès et des données sur la période d'exposition.</t>
  </si>
  <si>
    <r>
      <t>Entrer l’information collectée à partir des femmes enquêtées dans l’onglet « </t>
    </r>
    <r>
      <rPr>
        <b/>
        <i/>
        <sz val="12"/>
        <rFont val="Arial"/>
        <family val="2"/>
      </rPr>
      <t>Femmes enquêtées</t>
    </r>
    <r>
      <rPr>
        <i/>
        <sz val="12"/>
        <rFont val="Arial"/>
        <family val="2"/>
      </rPr>
      <t> » et, si elles sont disponibles, les données collectées auprès des hommes dans l’onglet « </t>
    </r>
    <r>
      <rPr>
        <b/>
        <i/>
        <sz val="12"/>
        <rFont val="Arial"/>
        <family val="2"/>
      </rPr>
      <t>Hommes enquêtés</t>
    </r>
    <r>
      <rPr>
        <i/>
        <sz val="12"/>
        <rFont val="Arial"/>
        <family val="2"/>
      </rPr>
      <t> ». Dans chaque cas:</t>
    </r>
  </si>
  <si>
    <r>
      <t xml:space="preserve">Entrez les décès et les années d'exposition des frères au cours de la période la plus récente précédant l'enquête dans les cellules </t>
    </r>
    <r>
      <rPr>
        <b/>
        <sz val="12"/>
        <rFont val="Arial"/>
        <family val="2"/>
      </rPr>
      <t>B4: B15</t>
    </r>
    <r>
      <rPr>
        <sz val="12"/>
        <rFont val="Arial"/>
        <family val="2"/>
      </rPr>
      <t xml:space="preserve"> et </t>
    </r>
    <r>
      <rPr>
        <b/>
        <sz val="12"/>
        <rFont val="Arial"/>
        <family val="2"/>
      </rPr>
      <t>C4: C15</t>
    </r>
    <r>
      <rPr>
        <sz val="12"/>
        <rFont val="Arial"/>
        <family val="2"/>
      </rPr>
      <t xml:space="preserve"> et les décès et l'exposition des sœurs au cours de la même période dans les cellules </t>
    </r>
    <r>
      <rPr>
        <b/>
        <sz val="12"/>
        <rFont val="Arial"/>
        <family val="2"/>
      </rPr>
      <t>K4: K15</t>
    </r>
    <r>
      <rPr>
        <sz val="12"/>
        <rFont val="Arial"/>
        <family val="2"/>
      </rPr>
      <t xml:space="preserve"> et </t>
    </r>
    <r>
      <rPr>
        <b/>
        <sz val="12"/>
        <rFont val="Arial"/>
        <family val="2"/>
      </rPr>
      <t>L4: L15.</t>
    </r>
  </si>
  <si>
    <r>
      <t xml:space="preserve">Si vous faites des estimations pour deux périodes, entrez les décès et les années d'exposition des frères au cours de la période la plus ancienne dans les cellules </t>
    </r>
    <r>
      <rPr>
        <b/>
        <sz val="12"/>
        <rFont val="Arial"/>
        <family val="2"/>
      </rPr>
      <t>B22: B33</t>
    </r>
    <r>
      <rPr>
        <sz val="12"/>
        <rFont val="Arial"/>
        <family val="2"/>
      </rPr>
      <t xml:space="preserve"> et </t>
    </r>
    <r>
      <rPr>
        <b/>
        <sz val="12"/>
        <rFont val="Arial"/>
        <family val="2"/>
      </rPr>
      <t>C22: C33</t>
    </r>
    <r>
      <rPr>
        <sz val="12"/>
        <rFont val="Arial"/>
        <family val="2"/>
      </rPr>
      <t xml:space="preserve"> et les décès des sœurs des femmes répondantes au cours de la même période dans les cellules </t>
    </r>
    <r>
      <rPr>
        <b/>
        <sz val="12"/>
        <rFont val="Arial"/>
        <family val="2"/>
      </rPr>
      <t>K22: K33</t>
    </r>
    <r>
      <rPr>
        <sz val="12"/>
        <rFont val="Arial"/>
        <family val="2"/>
      </rPr>
      <t xml:space="preserve"> et </t>
    </r>
    <r>
      <rPr>
        <b/>
        <sz val="12"/>
        <rFont val="Arial"/>
        <family val="2"/>
      </rPr>
      <t>L22: L33</t>
    </r>
    <r>
      <rPr>
        <sz val="12"/>
        <rFont val="Arial"/>
        <family val="2"/>
      </rPr>
      <t>.</t>
    </r>
  </si>
  <si>
    <t>Logits des tables-types de mortalité e0=60, sexes réunis</t>
  </si>
  <si>
    <t>NU Général</t>
  </si>
  <si>
    <t>Princeton Est</t>
  </si>
  <si>
    <t>Princeton Nord</t>
  </si>
  <si>
    <t>Princeton Sud</t>
  </si>
  <si>
    <t>Princeton Ouest</t>
  </si>
  <si>
    <t xml:space="preserve">Valeurs modifiées </t>
  </si>
  <si>
    <t>Survie à partir de 15 ans</t>
  </si>
  <si>
    <t>Frères</t>
  </si>
  <si>
    <t>Soeurs</t>
  </si>
  <si>
    <t>Frères - période plus récente</t>
  </si>
  <si>
    <t>Soeurs  - période plus récente</t>
  </si>
  <si>
    <t>Frères - période plus ancienne</t>
  </si>
  <si>
    <t>Soeurs - période plus ancienne</t>
  </si>
  <si>
    <t>Décès</t>
  </si>
  <si>
    <t>Taux de mortalité</t>
  </si>
  <si>
    <t>Lissage</t>
  </si>
  <si>
    <t>Exposition</t>
  </si>
  <si>
    <t>Frères - période entière</t>
  </si>
  <si>
    <t>Soeurs - période entière</t>
  </si>
  <si>
    <t>Calcul des erreurs d'échantillonnage</t>
  </si>
  <si>
    <t>Hommes enquêtés</t>
  </si>
  <si>
    <t>Femmes enquêtées</t>
  </si>
  <si>
    <t>Autre</t>
  </si>
  <si>
    <t>http://demographicestimation.iussp.org/fr/content/estimation-de-la-mortalité-adulte-à-partir-de-la-survie-des-frères-et-sœurs</t>
  </si>
  <si>
    <t>Entrez le nom du pays ou de l'enquête à la droite de cette cellule.</t>
  </si>
  <si>
    <t>Sélectionnez la famille du modèle de tables de mortalité avec lequel vous souhaitez évaluer la structure par âge de la mortalité dans cette population en utilisant le menu déroulant à droite de cette cellule.</t>
  </si>
  <si>
    <t>Date à laquelle l'exposition au risque se termine</t>
  </si>
  <si>
    <t>Enquête sur la mortalité maternelle au Bangladesh</t>
  </si>
  <si>
    <r>
      <t xml:space="preserve">La feuille de calcul nécessite des données sur les décès et les personnes-années d'exposition par groupe d'âge de cinq ans, aussi bien pour les sœurs de répondants  que pour  leurs frères. Elle est configurée pour accepter les données sur deux périodes successives précédant l'enquête. Ces deux ensembles de données sont ensuite additionnés pour produire des indicateurs de mortalité pour chaque période et pour les deux périodes combinées. La feuille de calcul peut être utilisée pour analyser les données tabulées par années calendrier ou selon le nombre d’années précédant l’enquête. Dans le premier cas, la date à laquelle cesse l'exposition qui se place dans la cellule </t>
    </r>
    <r>
      <rPr>
        <b/>
        <sz val="12"/>
        <rFont val="Arial"/>
        <family val="2"/>
      </rPr>
      <t>D13</t>
    </r>
    <r>
      <rPr>
        <sz val="12"/>
        <rFont val="Arial"/>
        <family val="2"/>
      </rPr>
      <t xml:space="preserve"> est la date à laquelle la </t>
    </r>
    <r>
      <rPr>
        <sz val="12"/>
        <color theme="1"/>
        <rFont val="Arial"/>
        <family val="2"/>
      </rPr>
      <t>période la plus récente se termine. Dans le second cas, il doit s’agir de la moyenne des dates auxquelles les répondants ont été interrogés.</t>
    </r>
  </si>
  <si>
    <t>Entrez à la droite de cette cellule la durée en années de la période la plus récente avant l'enquête pour laquelle vous avez extrait les données sur les décès et les données sur la période d'exposition.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</si>
</sst>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164" formatCode="_ * #,##0.00_ ;_ * \-#,##0.00_ ;_ * &quot;-&quot;??_ ;_ @_ "/>
    <numFmt numFmtId="165" formatCode="0.00000"/>
    <numFmt numFmtId="166" formatCode="0.0000"/>
    <numFmt numFmtId="167" formatCode="General_)"/>
    <numFmt numFmtId="168" formatCode="0.0000000"/>
    <numFmt numFmtId="169" formatCode="\(0.0000\-"/>
    <numFmt numFmtId="170" formatCode="0.0000\)"/>
    <numFmt numFmtId="171" formatCode="0.0000_)"/>
    <numFmt numFmtId="172" formatCode="0.000_)"/>
    <numFmt numFmtId="173" formatCode="0.000"/>
    <numFmt numFmtId="174" formatCode="\(0.0000_)"/>
    <numFmt numFmtId="175" formatCode="\ \-\ \ 0.0000\)"/>
    <numFmt numFmtId="176" formatCode="0.0_)"/>
    <numFmt numFmtId="177" formatCode="0.00000_)"/>
    <numFmt numFmtId="178" formatCode="0.00&quot; years&quot;"/>
    <numFmt numFmtId="179" formatCode="&quot;α= &quot;0.000;&quot;α= &quot;\-0.000"/>
    <numFmt numFmtId="180" formatCode="&quot;β= &quot;0.000"/>
    <numFmt numFmtId="185" formatCode="0.00&quot; années&quot;"/>
  </numFmts>
  <fonts count="30">
    <font>
      <sz val="10"/>
      <color theme="1"/>
      <name val="Arial"/>
      <family val="2"/>
    </font>
    <font>
      <b/>
      <sz val="11"/>
      <name val="Arial Narrow"/>
      <family val="2"/>
    </font>
    <font>
      <b/>
      <vertAlign val="subscript"/>
      <sz val="11"/>
      <name val="Arial Narrow"/>
      <family val="2"/>
    </font>
    <font>
      <b/>
      <i/>
      <sz val="11"/>
      <name val="Arial Narrow"/>
      <family val="2"/>
    </font>
    <font>
      <b/>
      <sz val="11"/>
      <color theme="1"/>
      <name val="Arial Narrow"/>
      <family val="2"/>
    </font>
    <font>
      <sz val="10"/>
      <name val="Arial"/>
      <family val="2"/>
    </font>
    <font>
      <b/>
      <sz val="10"/>
      <color theme="1"/>
      <name val="Arial"/>
      <family val="2"/>
    </font>
    <font>
      <b/>
      <i/>
      <vertAlign val="subscript"/>
      <sz val="11"/>
      <name val="Arial Narrow"/>
      <family val="2"/>
    </font>
    <font>
      <b/>
      <sz val="12"/>
      <name val="Arial"/>
      <family val="2"/>
    </font>
    <font>
      <sz val="12"/>
      <name val="Arial"/>
      <family val="2"/>
    </font>
    <font>
      <u/>
      <sz val="10"/>
      <color theme="10"/>
      <name val="Arial"/>
      <family val="2"/>
    </font>
    <font>
      <sz val="12"/>
      <name val="Courier"/>
      <family val="3"/>
    </font>
    <font>
      <sz val="12"/>
      <color theme="1"/>
      <name val="Arial"/>
      <family val="2"/>
    </font>
    <font>
      <b/>
      <sz val="10"/>
      <color theme="1"/>
      <name val="Arial Narrow"/>
      <family val="2"/>
    </font>
    <font>
      <sz val="10"/>
      <name val="Arial"/>
      <family val="2"/>
    </font>
    <font>
      <b/>
      <i/>
      <sz val="12"/>
      <name val="Arial"/>
      <family val="2"/>
    </font>
    <font>
      <sz val="12"/>
      <name val="Courier"/>
      <family val="3"/>
    </font>
    <font>
      <b/>
      <sz val="12"/>
      <name val="Arial Narrow"/>
      <family val="2"/>
    </font>
    <font>
      <sz val="10"/>
      <name val="Calibri"/>
      <family val="2"/>
    </font>
    <font>
      <sz val="11"/>
      <color indexed="8"/>
      <name val="Calibri"/>
      <family val="2"/>
    </font>
    <font>
      <sz val="8"/>
      <name val="SAS Monospace"/>
    </font>
    <font>
      <sz val="10"/>
      <name val="Courier"/>
      <family val="3"/>
    </font>
    <font>
      <b/>
      <sz val="16"/>
      <color theme="1"/>
      <name val="Verdana"/>
      <family val="2"/>
    </font>
    <font>
      <i/>
      <sz val="12"/>
      <name val="Arial"/>
      <family val="2"/>
    </font>
    <font>
      <u/>
      <sz val="12"/>
      <color theme="10"/>
      <name val="Arial"/>
      <family val="2"/>
    </font>
    <font>
      <sz val="8"/>
      <color indexed="81"/>
      <name val="Tahoma"/>
      <family val="2"/>
    </font>
    <font>
      <sz val="12"/>
      <color rgb="FF006600"/>
      <name val="Arial"/>
      <family val="2"/>
    </font>
    <font>
      <sz val="10"/>
      <color rgb="FF006600"/>
      <name val="Arial"/>
      <family val="2"/>
    </font>
    <font>
      <sz val="10"/>
      <color theme="9" tint="-0.499984740745262"/>
      <name val="Arial"/>
      <family val="2"/>
    </font>
    <font>
      <b/>
      <sz val="12"/>
      <color theme="1"/>
      <name val="Arial"/>
      <family val="2"/>
    </font>
  </fonts>
  <fills count="5">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rgb="FFC6EFCE"/>
        <bgColor indexed="64"/>
      </patternFill>
    </fill>
  </fills>
  <borders count="11">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theme="9" tint="-0.249977111117893"/>
      </left>
      <right style="thin">
        <color theme="9" tint="-0.249977111117893"/>
      </right>
      <top style="thin">
        <color theme="9" tint="-0.249977111117893"/>
      </top>
      <bottom style="thin">
        <color theme="9" tint="-0.249977111117893"/>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s>
  <cellStyleXfs count="10">
    <xf numFmtId="0" fontId="0" fillId="0" borderId="0"/>
    <xf numFmtId="0" fontId="5" fillId="0" borderId="0"/>
    <xf numFmtId="167" fontId="11" fillId="0" borderId="0"/>
    <xf numFmtId="0" fontId="14" fillId="0" borderId="0"/>
    <xf numFmtId="167" fontId="16" fillId="0" borderId="0"/>
    <xf numFmtId="164" fontId="19" fillId="0" borderId="0" applyFont="0" applyFill="0" applyBorder="0" applyAlignment="0" applyProtection="0"/>
    <xf numFmtId="0" fontId="20" fillId="0" borderId="0"/>
    <xf numFmtId="0" fontId="5" fillId="0" borderId="0"/>
    <xf numFmtId="171" fontId="21" fillId="0" borderId="0"/>
    <xf numFmtId="0" fontId="10" fillId="0" borderId="0" applyNumberFormat="0" applyFill="0" applyBorder="0" applyAlignment="0" applyProtection="0">
      <alignment vertical="top"/>
      <protection locked="0"/>
    </xf>
  </cellStyleXfs>
  <cellXfs count="111">
    <xf numFmtId="0" fontId="0" fillId="0" borderId="0" xfId="0"/>
    <xf numFmtId="49" fontId="1" fillId="2" borderId="3" xfId="0" applyNumberFormat="1" applyFont="1" applyFill="1" applyBorder="1" applyAlignment="1">
      <alignment horizontal="center"/>
    </xf>
    <xf numFmtId="0" fontId="0" fillId="2" borderId="0" xfId="0" applyFill="1"/>
    <xf numFmtId="165" fontId="0" fillId="2" borderId="0" xfId="0" applyNumberFormat="1" applyFill="1"/>
    <xf numFmtId="0" fontId="0" fillId="2" borderId="3" xfId="0" applyFill="1" applyBorder="1"/>
    <xf numFmtId="49" fontId="1" fillId="2" borderId="1" xfId="0" applyNumberFormat="1" applyFont="1" applyFill="1" applyBorder="1" applyAlignment="1">
      <alignment horizontal="center"/>
    </xf>
    <xf numFmtId="0" fontId="0" fillId="2" borderId="0" xfId="0" applyFill="1" applyBorder="1"/>
    <xf numFmtId="0" fontId="4" fillId="2" borderId="2" xfId="0" applyFont="1" applyFill="1" applyBorder="1" applyAlignment="1">
      <alignment horizontal="center"/>
    </xf>
    <xf numFmtId="0" fontId="4" fillId="2" borderId="1" xfId="0" applyFont="1" applyFill="1" applyBorder="1" applyAlignment="1">
      <alignment horizontal="center"/>
    </xf>
    <xf numFmtId="11" fontId="4" fillId="2" borderId="1" xfId="0" applyNumberFormat="1" applyFont="1" applyFill="1" applyBorder="1" applyAlignment="1">
      <alignment horizontal="center"/>
    </xf>
    <xf numFmtId="0" fontId="0" fillId="2" borderId="0" xfId="0" applyFill="1" applyAlignment="1">
      <alignment horizontal="center"/>
    </xf>
    <xf numFmtId="0" fontId="0" fillId="2" borderId="0" xfId="0" applyFill="1" applyBorder="1" applyAlignment="1">
      <alignment horizontal="center"/>
    </xf>
    <xf numFmtId="0" fontId="4" fillId="2" borderId="1" xfId="0" applyFont="1" applyFill="1" applyBorder="1" applyAlignment="1">
      <alignment horizontal="center"/>
    </xf>
    <xf numFmtId="0" fontId="6" fillId="0" borderId="0" xfId="0" applyFont="1"/>
    <xf numFmtId="0" fontId="6" fillId="0" borderId="3" xfId="0" applyFont="1" applyBorder="1" applyAlignment="1">
      <alignment horizontal="center"/>
    </xf>
    <xf numFmtId="0" fontId="8" fillId="0" borderId="0" xfId="1" applyFont="1" applyFill="1" applyAlignment="1">
      <alignment horizontal="center"/>
    </xf>
    <xf numFmtId="0" fontId="9" fillId="0" borderId="0" xfId="1" applyFont="1" applyFill="1" applyAlignment="1">
      <alignment horizontal="left"/>
    </xf>
    <xf numFmtId="167" fontId="9" fillId="0" borderId="0" xfId="2" applyFont="1" applyAlignment="1">
      <alignment vertical="top" wrapText="1"/>
    </xf>
    <xf numFmtId="0" fontId="12" fillId="0" borderId="0" xfId="0" applyFont="1" applyAlignment="1">
      <alignment vertical="top"/>
    </xf>
    <xf numFmtId="167" fontId="9" fillId="0" borderId="0" xfId="2" applyFont="1" applyFill="1" applyAlignment="1">
      <alignment vertical="top" wrapText="1"/>
    </xf>
    <xf numFmtId="49" fontId="1" fillId="2" borderId="0" xfId="0" applyNumberFormat="1" applyFont="1" applyFill="1" applyBorder="1" applyAlignment="1">
      <alignment horizontal="left"/>
    </xf>
    <xf numFmtId="49" fontId="1" fillId="2" borderId="3" xfId="0" applyNumberFormat="1" applyFont="1" applyFill="1" applyBorder="1" applyAlignment="1">
      <alignment horizontal="left"/>
    </xf>
    <xf numFmtId="0" fontId="13" fillId="2" borderId="2" xfId="0" applyFont="1" applyFill="1" applyBorder="1" applyAlignment="1">
      <alignment horizontal="center"/>
    </xf>
    <xf numFmtId="0" fontId="13" fillId="2" borderId="3" xfId="0" applyFont="1" applyFill="1" applyBorder="1" applyAlignment="1">
      <alignment horizontal="center"/>
    </xf>
    <xf numFmtId="168" fontId="0" fillId="2" borderId="0" xfId="0" applyNumberFormat="1" applyFill="1"/>
    <xf numFmtId="168" fontId="0" fillId="2" borderId="0" xfId="0" applyNumberFormat="1" applyFill="1" applyBorder="1"/>
    <xf numFmtId="0" fontId="14" fillId="0" borderId="0" xfId="3"/>
    <xf numFmtId="0" fontId="9" fillId="0" borderId="0" xfId="3" applyFont="1"/>
    <xf numFmtId="167" fontId="17" fillId="2" borderId="1" xfId="4" applyFont="1" applyFill="1" applyBorder="1" applyAlignment="1" applyProtection="1">
      <alignment horizontal="center"/>
      <protection hidden="1"/>
    </xf>
    <xf numFmtId="0" fontId="14" fillId="2" borderId="2" xfId="3" applyFill="1" applyBorder="1" applyAlignment="1">
      <alignment horizontal="center"/>
    </xf>
    <xf numFmtId="0" fontId="14" fillId="2" borderId="0" xfId="3" applyFill="1" applyBorder="1" applyAlignment="1">
      <alignment horizontal="center"/>
    </xf>
    <xf numFmtId="0" fontId="1" fillId="2" borderId="3" xfId="3" applyFont="1" applyFill="1" applyBorder="1" applyAlignment="1">
      <alignment horizontal="center"/>
    </xf>
    <xf numFmtId="0" fontId="14" fillId="2" borderId="3" xfId="3" applyFill="1" applyBorder="1" applyAlignment="1">
      <alignment horizontal="center"/>
    </xf>
    <xf numFmtId="167" fontId="8" fillId="0" borderId="0" xfId="3" applyNumberFormat="1" applyFont="1" applyAlignment="1" applyProtection="1">
      <alignment horizontal="left"/>
    </xf>
    <xf numFmtId="0" fontId="5" fillId="0" borderId="0" xfId="3" applyFont="1" applyAlignment="1">
      <alignment horizontal="right"/>
    </xf>
    <xf numFmtId="0" fontId="1" fillId="2" borderId="2" xfId="3" applyFont="1" applyFill="1" applyBorder="1" applyAlignment="1">
      <alignment horizontal="center"/>
    </xf>
    <xf numFmtId="171" fontId="1" fillId="2" borderId="3" xfId="3" applyNumberFormat="1" applyFont="1" applyFill="1" applyBorder="1" applyAlignment="1" applyProtection="1">
      <alignment horizontal="center"/>
    </xf>
    <xf numFmtId="0" fontId="5" fillId="2" borderId="0" xfId="3" applyFont="1" applyFill="1" applyAlignment="1">
      <alignment horizontal="center"/>
    </xf>
    <xf numFmtId="166" fontId="5" fillId="2" borderId="0" xfId="3" applyNumberFormat="1" applyFont="1" applyFill="1" applyProtection="1"/>
    <xf numFmtId="0" fontId="5" fillId="2" borderId="3" xfId="3" applyFont="1" applyFill="1" applyBorder="1" applyAlignment="1">
      <alignment horizontal="center"/>
    </xf>
    <xf numFmtId="171" fontId="5" fillId="2" borderId="3" xfId="3" applyNumberFormat="1" applyFont="1" applyFill="1" applyBorder="1" applyProtection="1"/>
    <xf numFmtId="166" fontId="5" fillId="2" borderId="3" xfId="3" applyNumberFormat="1" applyFont="1" applyFill="1" applyBorder="1" applyProtection="1"/>
    <xf numFmtId="167" fontId="9" fillId="0" borderId="0" xfId="4" applyFont="1" applyAlignment="1">
      <alignment vertical="top"/>
    </xf>
    <xf numFmtId="167" fontId="8" fillId="0" borderId="0" xfId="4" applyFont="1"/>
    <xf numFmtId="167" fontId="9" fillId="0" borderId="0" xfId="4" applyFont="1" applyAlignment="1">
      <alignment vertical="top" wrapText="1"/>
    </xf>
    <xf numFmtId="167" fontId="9" fillId="0" borderId="8" xfId="4" applyFont="1" applyFill="1" applyBorder="1" applyAlignment="1">
      <alignment wrapText="1"/>
    </xf>
    <xf numFmtId="0" fontId="6" fillId="0" borderId="0" xfId="0" applyFont="1" applyFill="1"/>
    <xf numFmtId="0" fontId="0" fillId="0" borderId="0" xfId="0" applyFill="1"/>
    <xf numFmtId="171" fontId="5" fillId="2" borderId="2" xfId="3" applyNumberFormat="1" applyFont="1" applyFill="1" applyBorder="1" applyProtection="1"/>
    <xf numFmtId="171" fontId="5" fillId="2" borderId="0" xfId="3" applyNumberFormat="1" applyFont="1" applyFill="1" applyBorder="1" applyProtection="1"/>
    <xf numFmtId="173" fontId="0" fillId="0" borderId="0" xfId="0" applyNumberFormat="1"/>
    <xf numFmtId="1" fontId="5" fillId="2" borderId="0" xfId="3" applyNumberFormat="1" applyFont="1" applyFill="1" applyProtection="1"/>
    <xf numFmtId="49" fontId="1" fillId="0" borderId="0" xfId="0" applyNumberFormat="1" applyFont="1" applyFill="1" applyBorder="1" applyAlignment="1">
      <alignment horizontal="left"/>
    </xf>
    <xf numFmtId="0" fontId="0" fillId="0" borderId="0" xfId="0" applyFill="1" applyBorder="1"/>
    <xf numFmtId="166" fontId="0" fillId="0" borderId="0" xfId="0" applyNumberFormat="1" applyFill="1" applyBorder="1"/>
    <xf numFmtId="169" fontId="0" fillId="0" borderId="0" xfId="0" applyNumberFormat="1" applyFill="1" applyBorder="1"/>
    <xf numFmtId="170" fontId="0" fillId="0" borderId="0" xfId="0" applyNumberFormat="1" applyFill="1" applyBorder="1" applyAlignment="1">
      <alignment horizontal="left"/>
    </xf>
    <xf numFmtId="173" fontId="0" fillId="0" borderId="0" xfId="0" applyNumberFormat="1" applyFill="1" applyBorder="1"/>
    <xf numFmtId="167" fontId="9" fillId="0" borderId="5" xfId="4" applyFont="1" applyFill="1" applyBorder="1" applyAlignment="1">
      <alignment vertical="top"/>
    </xf>
    <xf numFmtId="171" fontId="0" fillId="2" borderId="0" xfId="0" applyNumberFormat="1" applyFill="1"/>
    <xf numFmtId="171" fontId="0" fillId="2" borderId="0" xfId="0" applyNumberFormat="1" applyFill="1" applyBorder="1"/>
    <xf numFmtId="177" fontId="0" fillId="2" borderId="0" xfId="0" applyNumberFormat="1" applyFill="1"/>
    <xf numFmtId="176" fontId="5" fillId="2" borderId="0" xfId="0" applyNumberFormat="1" applyFont="1" applyFill="1" applyAlignment="1" applyProtection="1">
      <alignment horizontal="right"/>
      <protection locked="0"/>
    </xf>
    <xf numFmtId="165" fontId="0" fillId="0" borderId="0" xfId="0" applyNumberFormat="1" applyFill="1" applyBorder="1"/>
    <xf numFmtId="0" fontId="4" fillId="0" borderId="0" xfId="0" applyFont="1" applyFill="1" applyBorder="1" applyAlignment="1">
      <alignment horizontal="center"/>
    </xf>
    <xf numFmtId="0" fontId="4" fillId="2" borderId="1" xfId="0" applyFont="1" applyFill="1" applyBorder="1" applyAlignment="1">
      <alignment horizontal="center"/>
    </xf>
    <xf numFmtId="167" fontId="9" fillId="0" borderId="6" xfId="4" applyFont="1" applyFill="1" applyBorder="1" applyAlignment="1">
      <alignment wrapText="1"/>
    </xf>
    <xf numFmtId="0" fontId="13" fillId="2" borderId="2" xfId="0" applyFont="1" applyFill="1" applyBorder="1" applyAlignment="1">
      <alignment horizontal="center"/>
    </xf>
    <xf numFmtId="0" fontId="13" fillId="2" borderId="3" xfId="0" applyFont="1" applyFill="1" applyBorder="1" applyAlignment="1">
      <alignment horizontal="center"/>
    </xf>
    <xf numFmtId="0" fontId="4" fillId="2" borderId="2" xfId="0" applyFont="1" applyFill="1" applyBorder="1" applyAlignment="1">
      <alignment horizontal="center"/>
    </xf>
    <xf numFmtId="0" fontId="4" fillId="2" borderId="1" xfId="0" applyFont="1" applyFill="1" applyBorder="1" applyAlignment="1">
      <alignment horizontal="center"/>
    </xf>
    <xf numFmtId="0" fontId="22" fillId="0" borderId="0" xfId="0" applyFont="1" applyAlignment="1">
      <alignment horizontal="center"/>
    </xf>
    <xf numFmtId="167" fontId="23" fillId="0" borderId="0" xfId="4" applyFont="1" applyAlignment="1">
      <alignment vertical="top" wrapText="1"/>
    </xf>
    <xf numFmtId="179" fontId="0" fillId="2" borderId="0" xfId="0" applyNumberFormat="1" applyFill="1" applyAlignment="1">
      <alignment horizontal="center"/>
    </xf>
    <xf numFmtId="180" fontId="0" fillId="2" borderId="3" xfId="0" applyNumberFormat="1" applyFill="1" applyBorder="1" applyAlignment="1">
      <alignment horizontal="center"/>
    </xf>
    <xf numFmtId="172" fontId="27" fillId="4" borderId="0" xfId="3" applyNumberFormat="1" applyFont="1" applyFill="1" applyAlignment="1" applyProtection="1">
      <alignment horizontal="right"/>
      <protection locked="0"/>
    </xf>
    <xf numFmtId="172" fontId="27" fillId="4" borderId="3" xfId="3" applyNumberFormat="1" applyFont="1" applyFill="1" applyBorder="1" applyAlignment="1" applyProtection="1">
      <alignment horizontal="right"/>
      <protection locked="0"/>
    </xf>
    <xf numFmtId="176" fontId="27" fillId="4" borderId="0" xfId="0" applyNumberFormat="1" applyFont="1" applyFill="1" applyAlignment="1" applyProtection="1">
      <alignment horizontal="right"/>
      <protection locked="0"/>
    </xf>
    <xf numFmtId="171" fontId="28" fillId="3" borderId="0" xfId="0" applyNumberFormat="1" applyFont="1" applyFill="1" applyBorder="1"/>
    <xf numFmtId="174" fontId="28" fillId="3" borderId="0" xfId="0" applyNumberFormat="1" applyFont="1" applyFill="1" applyBorder="1"/>
    <xf numFmtId="175" fontId="28" fillId="3" borderId="0" xfId="0" applyNumberFormat="1" applyFont="1" applyFill="1" applyBorder="1" applyAlignment="1">
      <alignment horizontal="left"/>
    </xf>
    <xf numFmtId="171" fontId="28" fillId="3" borderId="3" xfId="0" applyNumberFormat="1" applyFont="1" applyFill="1" applyBorder="1"/>
    <xf numFmtId="174" fontId="28" fillId="3" borderId="3" xfId="0" applyNumberFormat="1" applyFont="1" applyFill="1" applyBorder="1"/>
    <xf numFmtId="175" fontId="28" fillId="3" borderId="3" xfId="0" applyNumberFormat="1" applyFont="1" applyFill="1" applyBorder="1" applyAlignment="1">
      <alignment horizontal="left"/>
    </xf>
    <xf numFmtId="2" fontId="28" fillId="3" borderId="0" xfId="0" applyNumberFormat="1" applyFont="1" applyFill="1" applyBorder="1"/>
    <xf numFmtId="171" fontId="5" fillId="2" borderId="0" xfId="3" applyNumberFormat="1" applyFont="1" applyFill="1" applyBorder="1" applyProtection="1">
      <protection hidden="1"/>
    </xf>
    <xf numFmtId="171" fontId="5" fillId="2" borderId="3" xfId="3" applyNumberFormat="1" applyFont="1" applyFill="1" applyBorder="1" applyProtection="1">
      <protection hidden="1"/>
    </xf>
    <xf numFmtId="167" fontId="26" fillId="4" borderId="10" xfId="4" applyFont="1" applyFill="1" applyBorder="1" applyAlignment="1" applyProtection="1">
      <alignment horizontal="center" wrapText="1"/>
      <protection locked="0"/>
    </xf>
    <xf numFmtId="167" fontId="26" fillId="4" borderId="7" xfId="4" applyFont="1" applyFill="1" applyBorder="1" applyAlignment="1" applyProtection="1">
      <alignment horizontal="center"/>
      <protection locked="0"/>
    </xf>
    <xf numFmtId="14" fontId="26" fillId="4" borderId="7" xfId="4" applyNumberFormat="1" applyFont="1" applyFill="1" applyBorder="1" applyAlignment="1" applyProtection="1">
      <alignment horizontal="center"/>
      <protection locked="0"/>
    </xf>
    <xf numFmtId="0" fontId="29" fillId="3" borderId="4" xfId="0" applyFont="1" applyFill="1" applyBorder="1" applyAlignment="1">
      <alignment horizontal="center" wrapText="1"/>
    </xf>
    <xf numFmtId="0" fontId="8" fillId="0" borderId="0" xfId="3" applyFont="1"/>
    <xf numFmtId="0" fontId="17" fillId="2" borderId="1" xfId="3" applyFont="1" applyFill="1" applyBorder="1" applyAlignment="1" applyProtection="1">
      <alignment horizontal="center"/>
      <protection hidden="1"/>
    </xf>
    <xf numFmtId="167" fontId="9" fillId="0" borderId="6" xfId="4" applyFont="1" applyFill="1" applyBorder="1" applyAlignment="1"/>
    <xf numFmtId="172" fontId="27" fillId="4" borderId="0" xfId="0" applyNumberFormat="1" applyFont="1" applyFill="1" applyAlignment="1" applyProtection="1">
      <alignment horizontal="right"/>
      <protection locked="0"/>
    </xf>
    <xf numFmtId="178" fontId="26" fillId="0" borderId="0" xfId="4" applyNumberFormat="1" applyFont="1" applyFill="1" applyBorder="1" applyAlignment="1" applyProtection="1">
      <alignment horizontal="center"/>
      <protection locked="0"/>
    </xf>
    <xf numFmtId="0" fontId="4" fillId="2" borderId="1" xfId="0" applyFont="1" applyFill="1" applyBorder="1" applyAlignment="1">
      <alignment horizontal="left"/>
    </xf>
    <xf numFmtId="167" fontId="8" fillId="0" borderId="5" xfId="4" applyFont="1" applyBorder="1" applyAlignment="1">
      <alignment horizontal="center"/>
    </xf>
    <xf numFmtId="167" fontId="8" fillId="0" borderId="10" xfId="4" applyFont="1" applyBorder="1" applyAlignment="1">
      <alignment horizontal="center"/>
    </xf>
    <xf numFmtId="167" fontId="24" fillId="0" borderId="0" xfId="9" applyNumberFormat="1" applyFont="1" applyFill="1" applyBorder="1" applyAlignment="1" applyProtection="1">
      <alignment horizontal="left" vertical="top" wrapText="1"/>
      <protection locked="0"/>
    </xf>
    <xf numFmtId="0" fontId="1" fillId="2" borderId="2" xfId="3" applyNumberFormat="1" applyFont="1" applyFill="1" applyBorder="1" applyAlignment="1">
      <alignment horizontal="center" wrapText="1"/>
    </xf>
    <xf numFmtId="0" fontId="0" fillId="0" borderId="3" xfId="0" applyNumberFormat="1" applyBorder="1" applyAlignment="1">
      <alignment horizontal="center" wrapText="1"/>
    </xf>
    <xf numFmtId="0" fontId="13" fillId="2" borderId="2" xfId="0" applyFont="1" applyFill="1" applyBorder="1" applyAlignment="1">
      <alignment horizontal="center"/>
    </xf>
    <xf numFmtId="0" fontId="13" fillId="2" borderId="3" xfId="0" applyFont="1" applyFill="1" applyBorder="1" applyAlignment="1">
      <alignment horizontal="center"/>
    </xf>
    <xf numFmtId="0" fontId="4" fillId="2" borderId="2" xfId="0" applyFont="1" applyFill="1" applyBorder="1" applyAlignment="1">
      <alignment horizontal="center"/>
    </xf>
    <xf numFmtId="0" fontId="0" fillId="0" borderId="2" xfId="0" applyBorder="1" applyAlignment="1">
      <alignment horizontal="center"/>
    </xf>
    <xf numFmtId="0" fontId="4" fillId="2" borderId="1" xfId="0" applyFont="1" applyFill="1" applyBorder="1" applyAlignment="1">
      <alignment horizontal="center"/>
    </xf>
    <xf numFmtId="0" fontId="0" fillId="0" borderId="1" xfId="0" applyBorder="1" applyAlignment="1"/>
    <xf numFmtId="0" fontId="0" fillId="0" borderId="1" xfId="0" applyBorder="1" applyAlignment="1">
      <alignment horizontal="center"/>
    </xf>
    <xf numFmtId="185" fontId="26" fillId="4" borderId="7" xfId="4" applyNumberFormat="1" applyFont="1" applyFill="1" applyBorder="1" applyAlignment="1" applyProtection="1">
      <alignment horizontal="center"/>
      <protection locked="0"/>
    </xf>
    <xf numFmtId="185" fontId="26" fillId="4" borderId="9" xfId="4" applyNumberFormat="1" applyFont="1" applyFill="1" applyBorder="1" applyAlignment="1" applyProtection="1">
      <alignment horizontal="center"/>
      <protection locked="0"/>
    </xf>
  </cellXfs>
  <cellStyles count="10">
    <cellStyle name="Comma 3" xfId="5"/>
    <cellStyle name="Hyperlink 3" xfId="9"/>
    <cellStyle name="Normal" xfId="0" builtinId="0"/>
    <cellStyle name="Normal 2" xfId="2"/>
    <cellStyle name="Normal 2 2" xfId="4"/>
    <cellStyle name="Normal 2 3" xfId="6"/>
    <cellStyle name="Normal 3" xfId="3"/>
    <cellStyle name="Normal 3 2" xfId="1"/>
    <cellStyle name="Normal 3 3" xfId="7"/>
    <cellStyle name="Normal 4" xfId="8"/>
  </cellStyles>
  <dxfs count="0"/>
  <tableStyles count="0" defaultTableStyle="TableStyleMedium9" defaultPivotStyle="PivotStyleLight16"/>
  <colors>
    <mruColors>
      <color rgb="FF006600"/>
      <color rgb="FFC6EFCE"/>
      <color rgb="FFD7E6E6"/>
      <color rgb="FFB4E6E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496206062097533E-2"/>
          <c:y val="0.10501110427770945"/>
          <c:w val="0.87268569787949635"/>
          <c:h val="0.81552831589185426"/>
        </c:manualLayout>
      </c:layout>
      <c:scatterChart>
        <c:scatterStyle val="lineMarker"/>
        <c:varyColors val="0"/>
        <c:ser>
          <c:idx val="0"/>
          <c:order val="0"/>
          <c:tx>
            <c:strRef>
              <c:f>'Femmes enquêtées'!$B$2</c:f>
              <c:strCache>
                <c:ptCount val="1"/>
                <c:pt idx="0">
                  <c:v>Frères - période plus récente</c:v>
                </c:pt>
              </c:strCache>
            </c:strRef>
          </c:tx>
          <c:spPr>
            <a:ln w="28575">
              <a:noFill/>
            </a:ln>
          </c:spPr>
          <c:marker>
            <c:symbol val="diamond"/>
            <c:size val="6"/>
          </c:marker>
          <c:trendline>
            <c:spPr>
              <a:ln>
                <a:solidFill>
                  <a:schemeClr val="accent1"/>
                </a:solidFill>
              </a:ln>
            </c:spPr>
            <c:trendlineType val="linear"/>
            <c:dispRSqr val="0"/>
            <c:dispEq val="0"/>
          </c:trendline>
          <c:xVal>
            <c:numRef>
              <c:f>Modèles!$E$24:$E$32</c:f>
              <c:numCache>
                <c:formatCode>0.0000</c:formatCode>
                <c:ptCount val="9"/>
                <c:pt idx="0">
                  <c:v>-2.3610110805820632</c:v>
                </c:pt>
                <c:pt idx="1">
                  <c:v>-1.9174663495504836</c:v>
                </c:pt>
                <c:pt idx="2">
                  <c:v>-1.6697581422327181</c:v>
                </c:pt>
                <c:pt idx="3">
                  <c:v>-1.4822158787041915</c:v>
                </c:pt>
                <c:pt idx="4">
                  <c:v>-1.3235766709372385</c:v>
                </c:pt>
                <c:pt idx="5">
                  <c:v>-1.1705794558900271</c:v>
                </c:pt>
                <c:pt idx="6">
                  <c:v>-1.0189070384025609</c:v>
                </c:pt>
                <c:pt idx="7">
                  <c:v>-0.85259765908806195</c:v>
                </c:pt>
                <c:pt idx="8">
                  <c:v>-0.67175650587001401</c:v>
                </c:pt>
              </c:numCache>
            </c:numRef>
          </c:xVal>
          <c:yVal>
            <c:numRef>
              <c:f>'Femmes enquêtées'!$G$7:$G$15</c:f>
              <c:numCache>
                <c:formatCode>0.0000_)</c:formatCode>
                <c:ptCount val="9"/>
                <c:pt idx="0">
                  <c:v>-2.7400055821500726</c:v>
                </c:pt>
                <c:pt idx="1">
                  <c:v>-2.3305853580513824</c:v>
                </c:pt>
                <c:pt idx="2">
                  <c:v>-2.0529037390253748</c:v>
                </c:pt>
                <c:pt idx="3">
                  <c:v>-1.8733422078616397</c:v>
                </c:pt>
                <c:pt idx="4">
                  <c:v>-1.6772008241992737</c:v>
                </c:pt>
                <c:pt idx="5">
                  <c:v>-1.5006010925410729</c:v>
                </c:pt>
                <c:pt idx="6">
                  <c:v>-1.2510610381333738</c:v>
                </c:pt>
                <c:pt idx="7">
                  <c:v>-0.97410213049824179</c:v>
                </c:pt>
                <c:pt idx="8">
                  <c:v>-0.69093733615369357</c:v>
                </c:pt>
              </c:numCache>
            </c:numRef>
          </c:yVal>
          <c:smooth val="0"/>
        </c:ser>
        <c:ser>
          <c:idx val="2"/>
          <c:order val="1"/>
          <c:tx>
            <c:strRef>
              <c:f>'Femmes enquêtées'!$B$20</c:f>
              <c:strCache>
                <c:ptCount val="1"/>
                <c:pt idx="0">
                  <c:v>Frères - période plus ancienne</c:v>
                </c:pt>
              </c:strCache>
            </c:strRef>
          </c:tx>
          <c:spPr>
            <a:ln w="28575">
              <a:noFill/>
            </a:ln>
          </c:spPr>
          <c:marker>
            <c:symbol val="square"/>
            <c:size val="5"/>
            <c:spPr>
              <a:solidFill>
                <a:schemeClr val="accent4"/>
              </a:solidFill>
              <a:ln>
                <a:solidFill>
                  <a:srgbClr val="8064A2"/>
                </a:solidFill>
              </a:ln>
            </c:spPr>
          </c:marker>
          <c:trendline>
            <c:spPr>
              <a:ln>
                <a:solidFill>
                  <a:schemeClr val="accent4"/>
                </a:solidFill>
              </a:ln>
            </c:spPr>
            <c:trendlineType val="linear"/>
            <c:dispRSqr val="0"/>
            <c:dispEq val="0"/>
          </c:trendline>
          <c:xVal>
            <c:numRef>
              <c:f>Modèles!$E$24:$E$32</c:f>
              <c:numCache>
                <c:formatCode>0.0000</c:formatCode>
                <c:ptCount val="9"/>
                <c:pt idx="0">
                  <c:v>-2.3610110805820632</c:v>
                </c:pt>
                <c:pt idx="1">
                  <c:v>-1.9174663495504836</c:v>
                </c:pt>
                <c:pt idx="2">
                  <c:v>-1.6697581422327181</c:v>
                </c:pt>
                <c:pt idx="3">
                  <c:v>-1.4822158787041915</c:v>
                </c:pt>
                <c:pt idx="4">
                  <c:v>-1.3235766709372385</c:v>
                </c:pt>
                <c:pt idx="5">
                  <c:v>-1.1705794558900271</c:v>
                </c:pt>
                <c:pt idx="6">
                  <c:v>-1.0189070384025609</c:v>
                </c:pt>
                <c:pt idx="7">
                  <c:v>-0.85259765908806195</c:v>
                </c:pt>
                <c:pt idx="8">
                  <c:v>-0.67175650587001401</c:v>
                </c:pt>
              </c:numCache>
            </c:numRef>
          </c:xVal>
          <c:yVal>
            <c:numRef>
              <c:f>'Femmes enquêtées'!$G$25:$G$33</c:f>
              <c:numCache>
                <c:formatCode>0.0000_)</c:formatCode>
                <c:ptCount val="9"/>
                <c:pt idx="0">
                  <c:v>-2.5620264078145869</c:v>
                </c:pt>
                <c:pt idx="1">
                  <c:v>-2.1711541759084239</c:v>
                </c:pt>
                <c:pt idx="2">
                  <c:v>-1.9385736825032835</c:v>
                </c:pt>
                <c:pt idx="3">
                  <c:v>-1.7294630554873742</c:v>
                </c:pt>
                <c:pt idx="4">
                  <c:v>-1.543713195363569</c:v>
                </c:pt>
                <c:pt idx="5">
                  <c:v>-1.2966634411553486</c:v>
                </c:pt>
                <c:pt idx="6">
                  <c:v>-1.0786521429256322</c:v>
                </c:pt>
                <c:pt idx="7">
                  <c:v>-0.77795519327792539</c:v>
                </c:pt>
                <c:pt idx="8">
                  <c:v>-0.50586887793531932</c:v>
                </c:pt>
              </c:numCache>
            </c:numRef>
          </c:yVal>
          <c:smooth val="0"/>
        </c:ser>
        <c:dLbls>
          <c:showLegendKey val="0"/>
          <c:showVal val="0"/>
          <c:showCatName val="0"/>
          <c:showSerName val="0"/>
          <c:showPercent val="0"/>
          <c:showBubbleSize val="0"/>
        </c:dLbls>
        <c:axId val="85805696"/>
        <c:axId val="87455232"/>
      </c:scatterChart>
      <c:valAx>
        <c:axId val="85805696"/>
        <c:scaling>
          <c:orientation val="minMax"/>
        </c:scaling>
        <c:delete val="0"/>
        <c:axPos val="b"/>
        <c:title>
          <c:tx>
            <c:rich>
              <a:bodyPr/>
              <a:lstStyle/>
              <a:p>
                <a:pPr>
                  <a:defRPr/>
                </a:pPr>
                <a:r>
                  <a:rPr lang="en-GB" sz="1200" b="1" i="0" u="none" strike="noStrike" baseline="0"/>
                  <a:t>Logits des probabilités de survie du standard à partir de 15 ans - </a:t>
                </a:r>
                <a:r>
                  <a:rPr lang="en-GB" sz="1200" b="1" i="1" u="none" strike="noStrike" baseline="-25000"/>
                  <a:t>x-10</a:t>
                </a:r>
                <a:r>
                  <a:rPr lang="en-GB" sz="1200" b="1" i="1" u="none" strike="noStrike" baseline="0"/>
                  <a:t>Y</a:t>
                </a:r>
                <a:r>
                  <a:rPr lang="en-GB" sz="1200" b="1" i="1" u="none" strike="noStrike" baseline="30000"/>
                  <a:t>s</a:t>
                </a:r>
                <a:r>
                  <a:rPr lang="en-GB" sz="1200" b="1" i="0" u="none" strike="noStrike" baseline="-25000"/>
                  <a:t>15</a:t>
                </a:r>
                <a:r>
                  <a:rPr lang="en-GB" sz="1200" b="1" i="0" u="none" strike="noStrike" baseline="0"/>
                  <a:t> </a:t>
                </a:r>
                <a:endParaRPr lang="en-GB"/>
              </a:p>
            </c:rich>
          </c:tx>
          <c:layout>
            <c:manualLayout>
              <c:xMode val="edge"/>
              <c:yMode val="edge"/>
              <c:x val="0.16363490012714818"/>
              <c:y val="6.3670220035533685E-3"/>
            </c:manualLayout>
          </c:layout>
          <c:overlay val="0"/>
        </c:title>
        <c:numFmt formatCode="0.0" sourceLinked="0"/>
        <c:majorTickMark val="in"/>
        <c:minorTickMark val="none"/>
        <c:tickLblPos val="high"/>
        <c:crossAx val="87455232"/>
        <c:crosses val="autoZero"/>
        <c:crossBetween val="midCat"/>
      </c:valAx>
      <c:valAx>
        <c:axId val="87455232"/>
        <c:scaling>
          <c:orientation val="minMax"/>
        </c:scaling>
        <c:delete val="0"/>
        <c:axPos val="l"/>
        <c:title>
          <c:tx>
            <c:rich>
              <a:bodyPr rot="-5400000" vert="horz"/>
              <a:lstStyle/>
              <a:p>
                <a:pPr>
                  <a:defRPr/>
                </a:pPr>
                <a:r>
                  <a:rPr lang="en-GB" sz="1200" b="1" i="0" u="none" strike="noStrike" baseline="0"/>
                  <a:t>Logits des probabilités de survie observées à partir de 15 ans - </a:t>
                </a:r>
                <a:r>
                  <a:rPr lang="en-GB" sz="1200" b="1" i="1" u="none" strike="noStrike" baseline="-25000"/>
                  <a:t>x-10</a:t>
                </a:r>
                <a:r>
                  <a:rPr lang="en-GB" sz="1200" b="1" i="1" u="none" strike="noStrike" baseline="0"/>
                  <a:t>Y</a:t>
                </a:r>
                <a:r>
                  <a:rPr lang="en-GB" sz="1200" b="1" i="0" u="none" strike="noStrike" baseline="-25000"/>
                  <a:t>15</a:t>
                </a:r>
                <a:r>
                  <a:rPr lang="en-GB" sz="1200" b="1" i="0" u="none" strike="noStrike" baseline="0"/>
                  <a:t> </a:t>
                </a:r>
                <a:endParaRPr lang="en-GB"/>
              </a:p>
            </c:rich>
          </c:tx>
          <c:layout>
            <c:manualLayout>
              <c:xMode val="edge"/>
              <c:yMode val="edge"/>
              <c:x val="0.95810682498666999"/>
              <c:y val="0.14943573185731857"/>
            </c:manualLayout>
          </c:layout>
          <c:overlay val="0"/>
        </c:title>
        <c:numFmt formatCode="0.0" sourceLinked="0"/>
        <c:majorTickMark val="in"/>
        <c:minorTickMark val="none"/>
        <c:tickLblPos val="high"/>
        <c:crossAx val="85805696"/>
        <c:crosses val="autoZero"/>
        <c:crossBetween val="midCat"/>
      </c:valAx>
      <c:spPr>
        <a:solidFill>
          <a:sysClr val="window" lastClr="FFFFFF"/>
        </a:solidFill>
      </c:spPr>
    </c:plotArea>
    <c:legend>
      <c:legendPos val="b"/>
      <c:legendEntry>
        <c:idx val="2"/>
        <c:delete val="1"/>
      </c:legendEntry>
      <c:legendEntry>
        <c:idx val="3"/>
        <c:delete val="1"/>
      </c:legendEntry>
      <c:layout>
        <c:manualLayout>
          <c:xMode val="edge"/>
          <c:yMode val="edge"/>
          <c:x val="0.13103338665354169"/>
          <c:y val="0.94270193325465923"/>
          <c:w val="0.69849877002968563"/>
          <c:h val="4.7132647356959094E-2"/>
        </c:manualLayout>
      </c:layout>
      <c:overlay val="0"/>
    </c:legend>
    <c:plotVisOnly val="1"/>
    <c:dispBlanksAs val="gap"/>
    <c:showDLblsOverMax val="0"/>
  </c:chart>
  <c:spPr>
    <a:solidFill>
      <a:srgbClr val="D7E6E6"/>
    </a:solidFill>
    <a:ln>
      <a:solidFill>
        <a:srgbClr val="D7E6E6"/>
      </a:solidFill>
    </a:ln>
  </c:spPr>
  <c:txPr>
    <a:bodyPr/>
    <a:lstStyle/>
    <a:p>
      <a:pPr>
        <a:defRPr sz="1200">
          <a:latin typeface="Verdana" pitchFamily="34" charset="0"/>
          <a:ea typeface="Verdana" pitchFamily="34" charset="0"/>
          <a:cs typeface="Verdana" pitchFamily="34" charset="0"/>
        </a:defRPr>
      </a:pPr>
      <a:endParaRPr lang="en-US"/>
    </a:p>
  </c:txPr>
  <c:printSettings>
    <c:headerFooter/>
    <c:pageMargins b="0.75000000000000344" l="0.70000000000000062" r="0.70000000000000062" t="0.750000000000003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2705142692849946E-2"/>
          <c:y val="0.10729493179549759"/>
          <c:w val="0.86877896722857961"/>
          <c:h val="0.81324449373405794"/>
        </c:manualLayout>
      </c:layout>
      <c:scatterChart>
        <c:scatterStyle val="lineMarker"/>
        <c:varyColors val="0"/>
        <c:ser>
          <c:idx val="0"/>
          <c:order val="0"/>
          <c:tx>
            <c:strRef>
              <c:f>'Femmes enquêtées'!$K$2</c:f>
              <c:strCache>
                <c:ptCount val="1"/>
                <c:pt idx="0">
                  <c:v>Soeurs  - période plus récente</c:v>
                </c:pt>
              </c:strCache>
            </c:strRef>
          </c:tx>
          <c:spPr>
            <a:ln w="28575">
              <a:noFill/>
            </a:ln>
          </c:spPr>
          <c:marker>
            <c:symbol val="diamond"/>
            <c:size val="6"/>
          </c:marker>
          <c:trendline>
            <c:spPr>
              <a:ln>
                <a:solidFill>
                  <a:schemeClr val="accent1"/>
                </a:solidFill>
              </a:ln>
            </c:spPr>
            <c:trendlineType val="linear"/>
            <c:dispRSqr val="0"/>
            <c:dispEq val="0"/>
          </c:trendline>
          <c:xVal>
            <c:numRef>
              <c:f>Modèles!$E$24:$E$32</c:f>
              <c:numCache>
                <c:formatCode>0.0000</c:formatCode>
                <c:ptCount val="9"/>
                <c:pt idx="0">
                  <c:v>-2.3610110805820632</c:v>
                </c:pt>
                <c:pt idx="1">
                  <c:v>-1.9174663495504836</c:v>
                </c:pt>
                <c:pt idx="2">
                  <c:v>-1.6697581422327181</c:v>
                </c:pt>
                <c:pt idx="3">
                  <c:v>-1.4822158787041915</c:v>
                </c:pt>
                <c:pt idx="4">
                  <c:v>-1.3235766709372385</c:v>
                </c:pt>
                <c:pt idx="5">
                  <c:v>-1.1705794558900271</c:v>
                </c:pt>
                <c:pt idx="6">
                  <c:v>-1.0189070384025609</c:v>
                </c:pt>
                <c:pt idx="7">
                  <c:v>-0.85259765908806195</c:v>
                </c:pt>
                <c:pt idx="8">
                  <c:v>-0.67175650587001401</c:v>
                </c:pt>
              </c:numCache>
            </c:numRef>
          </c:xVal>
          <c:yVal>
            <c:numRef>
              <c:f>'Femmes enquêtées'!$P$7:$P$15</c:f>
              <c:numCache>
                <c:formatCode>0.0000_)</c:formatCode>
                <c:ptCount val="9"/>
                <c:pt idx="0">
                  <c:v>-2.4348250817509407</c:v>
                </c:pt>
                <c:pt idx="1">
                  <c:v>-2.1084361967113829</c:v>
                </c:pt>
                <c:pt idx="2">
                  <c:v>-1.8944096187183179</c:v>
                </c:pt>
                <c:pt idx="3">
                  <c:v>-1.7247666086804232</c:v>
                </c:pt>
                <c:pt idx="4">
                  <c:v>-1.5846107521163451</c:v>
                </c:pt>
                <c:pt idx="5">
                  <c:v>-1.4238691408303967</c:v>
                </c:pt>
                <c:pt idx="6">
                  <c:v>-1.2715840167042445</c:v>
                </c:pt>
                <c:pt idx="7">
                  <c:v>-1.0434204110889715</c:v>
                </c:pt>
                <c:pt idx="8">
                  <c:v>-0.88038735328885964</c:v>
                </c:pt>
              </c:numCache>
            </c:numRef>
          </c:yVal>
          <c:smooth val="0"/>
        </c:ser>
        <c:ser>
          <c:idx val="2"/>
          <c:order val="1"/>
          <c:tx>
            <c:strRef>
              <c:f>'Femmes enquêtées'!$K$20</c:f>
              <c:strCache>
                <c:ptCount val="1"/>
                <c:pt idx="0">
                  <c:v>Soeurs - période plus ancienne</c:v>
                </c:pt>
              </c:strCache>
            </c:strRef>
          </c:tx>
          <c:spPr>
            <a:ln w="28575">
              <a:noFill/>
            </a:ln>
          </c:spPr>
          <c:marker>
            <c:symbol val="square"/>
            <c:size val="5"/>
            <c:spPr>
              <a:solidFill>
                <a:schemeClr val="accent4"/>
              </a:solidFill>
              <a:ln>
                <a:solidFill>
                  <a:srgbClr val="8064A2"/>
                </a:solidFill>
              </a:ln>
            </c:spPr>
          </c:marker>
          <c:trendline>
            <c:spPr>
              <a:ln>
                <a:solidFill>
                  <a:schemeClr val="accent4"/>
                </a:solidFill>
              </a:ln>
            </c:spPr>
            <c:trendlineType val="linear"/>
            <c:dispRSqr val="0"/>
            <c:dispEq val="0"/>
          </c:trendline>
          <c:xVal>
            <c:numRef>
              <c:f>Modèles!$E$24:$E$32</c:f>
              <c:numCache>
                <c:formatCode>0.0000</c:formatCode>
                <c:ptCount val="9"/>
                <c:pt idx="0">
                  <c:v>-2.3610110805820632</c:v>
                </c:pt>
                <c:pt idx="1">
                  <c:v>-1.9174663495504836</c:v>
                </c:pt>
                <c:pt idx="2">
                  <c:v>-1.6697581422327181</c:v>
                </c:pt>
                <c:pt idx="3">
                  <c:v>-1.4822158787041915</c:v>
                </c:pt>
                <c:pt idx="4">
                  <c:v>-1.3235766709372385</c:v>
                </c:pt>
                <c:pt idx="5">
                  <c:v>-1.1705794558900271</c:v>
                </c:pt>
                <c:pt idx="6">
                  <c:v>-1.0189070384025609</c:v>
                </c:pt>
                <c:pt idx="7">
                  <c:v>-0.85259765908806195</c:v>
                </c:pt>
                <c:pt idx="8">
                  <c:v>-0.67175650587001401</c:v>
                </c:pt>
              </c:numCache>
            </c:numRef>
          </c:xVal>
          <c:yVal>
            <c:numRef>
              <c:f>'Femmes enquêtées'!$P$25:$P$33</c:f>
              <c:numCache>
                <c:formatCode>0.0000_)</c:formatCode>
                <c:ptCount val="9"/>
                <c:pt idx="0">
                  <c:v>-2.3717621179086437</c:v>
                </c:pt>
                <c:pt idx="1">
                  <c:v>-1.9736414899420101</c:v>
                </c:pt>
                <c:pt idx="2">
                  <c:v>-1.7277593353593004</c:v>
                </c:pt>
                <c:pt idx="3">
                  <c:v>-1.5577369613461254</c:v>
                </c:pt>
                <c:pt idx="4">
                  <c:v>-1.3969264383494568</c:v>
                </c:pt>
                <c:pt idx="5">
                  <c:v>-1.2213593069203044</c:v>
                </c:pt>
                <c:pt idx="6">
                  <c:v>-1.0621115271235435</c:v>
                </c:pt>
                <c:pt idx="7">
                  <c:v>-0.87923254576527077</c:v>
                </c:pt>
                <c:pt idx="8">
                  <c:v>-0.72782401225520887</c:v>
                </c:pt>
              </c:numCache>
            </c:numRef>
          </c:yVal>
          <c:smooth val="0"/>
        </c:ser>
        <c:dLbls>
          <c:showLegendKey val="0"/>
          <c:showVal val="0"/>
          <c:showCatName val="0"/>
          <c:showSerName val="0"/>
          <c:showPercent val="0"/>
          <c:showBubbleSize val="0"/>
        </c:dLbls>
        <c:axId val="109742720"/>
        <c:axId val="110401792"/>
      </c:scatterChart>
      <c:valAx>
        <c:axId val="109742720"/>
        <c:scaling>
          <c:orientation val="minMax"/>
        </c:scaling>
        <c:delete val="0"/>
        <c:axPos val="b"/>
        <c:title>
          <c:tx>
            <c:rich>
              <a:bodyPr/>
              <a:lstStyle/>
              <a:p>
                <a:pPr>
                  <a:defRPr/>
                </a:pPr>
                <a:r>
                  <a:rPr lang="en-GB" sz="1200" b="1" i="0" u="none" strike="noStrike" baseline="0">
                    <a:effectLst/>
                  </a:rPr>
                  <a:t>Logits des probabilités de survie du standard à partir de 15 ans </a:t>
                </a:r>
                <a:r>
                  <a:rPr lang="en-GB" sz="1200" b="1" i="0" u="none" strike="noStrike" baseline="0"/>
                  <a:t>- </a:t>
                </a:r>
                <a:r>
                  <a:rPr lang="en-GB" sz="1200" b="1" i="1" u="none" strike="noStrike" baseline="-25000"/>
                  <a:t>x-10</a:t>
                </a:r>
                <a:r>
                  <a:rPr lang="en-GB" sz="1200" b="1" i="1" u="none" strike="noStrike" baseline="0"/>
                  <a:t>Y</a:t>
                </a:r>
                <a:r>
                  <a:rPr lang="en-GB" sz="1200" b="1" i="1" u="none" strike="noStrike" baseline="30000"/>
                  <a:t>s</a:t>
                </a:r>
                <a:r>
                  <a:rPr lang="en-GB" sz="1200" b="1" i="0" u="none" strike="noStrike" baseline="-25000"/>
                  <a:t>15</a:t>
                </a:r>
                <a:r>
                  <a:rPr lang="en-GB" sz="1200" b="1" i="0" u="none" strike="noStrike" baseline="0"/>
                  <a:t> </a:t>
                </a:r>
                <a:endParaRPr lang="en-GB"/>
              </a:p>
            </c:rich>
          </c:tx>
          <c:layout>
            <c:manualLayout>
              <c:xMode val="edge"/>
              <c:yMode val="edge"/>
              <c:x val="0.16623938722775933"/>
              <c:y val="8.5608856088560878E-3"/>
            </c:manualLayout>
          </c:layout>
          <c:overlay val="0"/>
        </c:title>
        <c:numFmt formatCode="0.0" sourceLinked="0"/>
        <c:majorTickMark val="in"/>
        <c:minorTickMark val="none"/>
        <c:tickLblPos val="high"/>
        <c:crossAx val="110401792"/>
        <c:crosses val="autoZero"/>
        <c:crossBetween val="midCat"/>
      </c:valAx>
      <c:valAx>
        <c:axId val="110401792"/>
        <c:scaling>
          <c:orientation val="minMax"/>
        </c:scaling>
        <c:delete val="0"/>
        <c:axPos val="l"/>
        <c:title>
          <c:tx>
            <c:rich>
              <a:bodyPr rot="-5400000" vert="horz"/>
              <a:lstStyle/>
              <a:p>
                <a:pPr>
                  <a:defRPr/>
                </a:pPr>
                <a:r>
                  <a:rPr lang="en-GB" sz="1200" b="1" i="0" u="none" strike="noStrike" baseline="0">
                    <a:effectLst/>
                  </a:rPr>
                  <a:t>Logits des probabilités de survie observées à partir de 15 ans </a:t>
                </a:r>
                <a:r>
                  <a:rPr lang="en-GB" sz="1200" b="1" i="1" u="none" strike="noStrike" baseline="-25000"/>
                  <a:t>x-10</a:t>
                </a:r>
                <a:r>
                  <a:rPr lang="en-GB" sz="1200" b="1" i="1" u="none" strike="noStrike" baseline="0"/>
                  <a:t>Y</a:t>
                </a:r>
                <a:r>
                  <a:rPr lang="en-GB" sz="1200" b="1" i="0" u="none" strike="noStrike" baseline="-25000"/>
                  <a:t>15</a:t>
                </a:r>
                <a:r>
                  <a:rPr lang="en-GB" sz="1200" b="1" i="0" u="none" strike="noStrike" baseline="0"/>
                  <a:t> </a:t>
                </a:r>
                <a:endParaRPr lang="en-GB"/>
              </a:p>
            </c:rich>
          </c:tx>
          <c:layout>
            <c:manualLayout>
              <c:xMode val="edge"/>
              <c:yMode val="edge"/>
              <c:x val="0.9678468607055899"/>
              <c:y val="0.10439331755856496"/>
            </c:manualLayout>
          </c:layout>
          <c:overlay val="0"/>
        </c:title>
        <c:numFmt formatCode="0.0" sourceLinked="0"/>
        <c:majorTickMark val="in"/>
        <c:minorTickMark val="none"/>
        <c:tickLblPos val="high"/>
        <c:crossAx val="109742720"/>
        <c:crosses val="autoZero"/>
        <c:crossBetween val="midCat"/>
      </c:valAx>
      <c:spPr>
        <a:solidFill>
          <a:sysClr val="window" lastClr="FFFFFF"/>
        </a:solidFill>
      </c:spPr>
    </c:plotArea>
    <c:legend>
      <c:legendPos val="b"/>
      <c:legendEntry>
        <c:idx val="2"/>
        <c:delete val="1"/>
      </c:legendEntry>
      <c:legendEntry>
        <c:idx val="3"/>
        <c:delete val="1"/>
      </c:legendEntry>
      <c:layout>
        <c:manualLayout>
          <c:xMode val="edge"/>
          <c:yMode val="edge"/>
          <c:x val="0.13103338665354169"/>
          <c:y val="0.94270193325465945"/>
          <c:w val="0.69849877002968563"/>
          <c:h val="4.7132647356959094E-2"/>
        </c:manualLayout>
      </c:layout>
      <c:overlay val="0"/>
    </c:legend>
    <c:plotVisOnly val="1"/>
    <c:dispBlanksAs val="gap"/>
    <c:showDLblsOverMax val="0"/>
  </c:chart>
  <c:spPr>
    <a:solidFill>
      <a:srgbClr val="D7E6E6"/>
    </a:solidFill>
    <a:ln>
      <a:solidFill>
        <a:srgbClr val="D7E6E6"/>
      </a:solidFill>
    </a:ln>
  </c:spPr>
  <c:txPr>
    <a:bodyPr/>
    <a:lstStyle/>
    <a:p>
      <a:pPr>
        <a:defRPr sz="1200">
          <a:latin typeface="Verdana" pitchFamily="34" charset="0"/>
          <a:ea typeface="Verdana" pitchFamily="34" charset="0"/>
          <a:cs typeface="Verdana" pitchFamily="34" charset="0"/>
        </a:defRPr>
      </a:pPr>
      <a:endParaRPr lang="en-US"/>
    </a:p>
  </c:txPr>
  <c:printSettings>
    <c:headerFooter/>
    <c:pageMargins b="0.75000000000000366" l="0.70000000000000062" r="0.70000000000000062" t="0.75000000000000366"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2705142692849946E-2"/>
          <c:y val="0.10501117641925718"/>
          <c:w val="0.87789467208072436"/>
          <c:h val="0.81552831589185426"/>
        </c:manualLayout>
      </c:layout>
      <c:scatterChart>
        <c:scatterStyle val="lineMarker"/>
        <c:varyColors val="0"/>
        <c:ser>
          <c:idx val="0"/>
          <c:order val="0"/>
          <c:tx>
            <c:strRef>
              <c:f>'Hommes enquêtés'!$B$2</c:f>
              <c:strCache>
                <c:ptCount val="1"/>
                <c:pt idx="0">
                  <c:v>Frères - période plus récente</c:v>
                </c:pt>
              </c:strCache>
            </c:strRef>
          </c:tx>
          <c:spPr>
            <a:ln w="28575">
              <a:noFill/>
            </a:ln>
          </c:spPr>
          <c:marker>
            <c:symbol val="diamond"/>
            <c:size val="6"/>
          </c:marker>
          <c:trendline>
            <c:spPr>
              <a:ln>
                <a:solidFill>
                  <a:schemeClr val="accent1"/>
                </a:solidFill>
              </a:ln>
            </c:spPr>
            <c:trendlineType val="linear"/>
            <c:dispRSqr val="0"/>
            <c:dispEq val="0"/>
          </c:trendline>
          <c:xVal>
            <c:numRef>
              <c:f>Modèles!$E$24:$E$32</c:f>
              <c:numCache>
                <c:formatCode>0.0000</c:formatCode>
                <c:ptCount val="9"/>
                <c:pt idx="0">
                  <c:v>-2.3610110805820632</c:v>
                </c:pt>
                <c:pt idx="1">
                  <c:v>-1.9174663495504836</c:v>
                </c:pt>
                <c:pt idx="2">
                  <c:v>-1.6697581422327181</c:v>
                </c:pt>
                <c:pt idx="3">
                  <c:v>-1.4822158787041915</c:v>
                </c:pt>
                <c:pt idx="4">
                  <c:v>-1.3235766709372385</c:v>
                </c:pt>
                <c:pt idx="5">
                  <c:v>-1.1705794558900271</c:v>
                </c:pt>
                <c:pt idx="6">
                  <c:v>-1.0189070384025609</c:v>
                </c:pt>
                <c:pt idx="7">
                  <c:v>-0.85259765908806195</c:v>
                </c:pt>
                <c:pt idx="8">
                  <c:v>-0.67175650587001401</c:v>
                </c:pt>
              </c:numCache>
            </c:numRef>
          </c:xVal>
          <c:yVal>
            <c:numRef>
              <c:f>'Hommes enquêtés'!$G$7:$G$15</c:f>
              <c:numCache>
                <c:formatCode>0.0000_)</c:formatCode>
                <c:ptCount val="9"/>
                <c:pt idx="0">
                  <c:v>0</c:v>
                </c:pt>
                <c:pt idx="1">
                  <c:v>0</c:v>
                </c:pt>
                <c:pt idx="2">
                  <c:v>0</c:v>
                </c:pt>
                <c:pt idx="3">
                  <c:v>0</c:v>
                </c:pt>
                <c:pt idx="4">
                  <c:v>0</c:v>
                </c:pt>
                <c:pt idx="5">
                  <c:v>0</c:v>
                </c:pt>
                <c:pt idx="6">
                  <c:v>0</c:v>
                </c:pt>
                <c:pt idx="7">
                  <c:v>0</c:v>
                </c:pt>
                <c:pt idx="8">
                  <c:v>0</c:v>
                </c:pt>
              </c:numCache>
            </c:numRef>
          </c:yVal>
          <c:smooth val="0"/>
        </c:ser>
        <c:ser>
          <c:idx val="2"/>
          <c:order val="1"/>
          <c:tx>
            <c:strRef>
              <c:f>'Hommes enquêtés'!$B$20</c:f>
              <c:strCache>
                <c:ptCount val="1"/>
                <c:pt idx="0">
                  <c:v>Frères - période plus ancienne</c:v>
                </c:pt>
              </c:strCache>
            </c:strRef>
          </c:tx>
          <c:spPr>
            <a:ln w="28575">
              <a:noFill/>
            </a:ln>
          </c:spPr>
          <c:marker>
            <c:symbol val="square"/>
            <c:size val="5"/>
            <c:spPr>
              <a:solidFill>
                <a:schemeClr val="accent4"/>
              </a:solidFill>
              <a:ln>
                <a:solidFill>
                  <a:srgbClr val="8064A2"/>
                </a:solidFill>
              </a:ln>
            </c:spPr>
          </c:marker>
          <c:trendline>
            <c:spPr>
              <a:ln>
                <a:solidFill>
                  <a:schemeClr val="accent4"/>
                </a:solidFill>
              </a:ln>
            </c:spPr>
            <c:trendlineType val="linear"/>
            <c:dispRSqr val="0"/>
            <c:dispEq val="0"/>
          </c:trendline>
          <c:xVal>
            <c:numRef>
              <c:f>Modèles!$E$24:$E$32</c:f>
              <c:numCache>
                <c:formatCode>0.0000</c:formatCode>
                <c:ptCount val="9"/>
                <c:pt idx="0">
                  <c:v>-2.3610110805820632</c:v>
                </c:pt>
                <c:pt idx="1">
                  <c:v>-1.9174663495504836</c:v>
                </c:pt>
                <c:pt idx="2">
                  <c:v>-1.6697581422327181</c:v>
                </c:pt>
                <c:pt idx="3">
                  <c:v>-1.4822158787041915</c:v>
                </c:pt>
                <c:pt idx="4">
                  <c:v>-1.3235766709372385</c:v>
                </c:pt>
                <c:pt idx="5">
                  <c:v>-1.1705794558900271</c:v>
                </c:pt>
                <c:pt idx="6">
                  <c:v>-1.0189070384025609</c:v>
                </c:pt>
                <c:pt idx="7">
                  <c:v>-0.85259765908806195</c:v>
                </c:pt>
                <c:pt idx="8">
                  <c:v>-0.67175650587001401</c:v>
                </c:pt>
              </c:numCache>
            </c:numRef>
          </c:xVal>
          <c:yVal>
            <c:numRef>
              <c:f>'Hommes enquêtés'!$G$25:$G$33</c:f>
              <c:numCache>
                <c:formatCode>0.0000_)</c:formatCode>
                <c:ptCount val="9"/>
                <c:pt idx="0">
                  <c:v>0</c:v>
                </c:pt>
                <c:pt idx="1">
                  <c:v>0</c:v>
                </c:pt>
                <c:pt idx="2">
                  <c:v>0</c:v>
                </c:pt>
                <c:pt idx="3">
                  <c:v>0</c:v>
                </c:pt>
                <c:pt idx="4">
                  <c:v>0</c:v>
                </c:pt>
                <c:pt idx="5">
                  <c:v>0</c:v>
                </c:pt>
                <c:pt idx="6">
                  <c:v>0</c:v>
                </c:pt>
                <c:pt idx="7">
                  <c:v>0</c:v>
                </c:pt>
                <c:pt idx="8">
                  <c:v>0</c:v>
                </c:pt>
              </c:numCache>
            </c:numRef>
          </c:yVal>
          <c:smooth val="0"/>
        </c:ser>
        <c:dLbls>
          <c:showLegendKey val="0"/>
          <c:showVal val="0"/>
          <c:showCatName val="0"/>
          <c:showSerName val="0"/>
          <c:showPercent val="0"/>
          <c:showBubbleSize val="0"/>
        </c:dLbls>
        <c:axId val="113921024"/>
        <c:axId val="113940352"/>
      </c:scatterChart>
      <c:valAx>
        <c:axId val="113921024"/>
        <c:scaling>
          <c:orientation val="minMax"/>
        </c:scaling>
        <c:delete val="0"/>
        <c:axPos val="b"/>
        <c:title>
          <c:tx>
            <c:rich>
              <a:bodyPr/>
              <a:lstStyle/>
              <a:p>
                <a:pPr>
                  <a:defRPr/>
                </a:pPr>
                <a:r>
                  <a:rPr lang="en-GB" sz="1200" b="1" i="0" u="none" strike="noStrike" baseline="0">
                    <a:effectLst/>
                  </a:rPr>
                  <a:t>Logits des probabilités de survie du standard à partir de 15 ans</a:t>
                </a:r>
                <a:r>
                  <a:rPr lang="en-GB" sz="1200" b="1" i="0" u="none" strike="noStrike" baseline="0"/>
                  <a:t>- </a:t>
                </a:r>
                <a:r>
                  <a:rPr lang="en-GB" sz="1200" b="1" i="1" u="none" strike="noStrike" baseline="-25000"/>
                  <a:t>x-10</a:t>
                </a:r>
                <a:r>
                  <a:rPr lang="en-GB" sz="1200" b="1" i="1" u="none" strike="noStrike" baseline="0"/>
                  <a:t>Y</a:t>
                </a:r>
                <a:r>
                  <a:rPr lang="en-GB" sz="1200" b="1" i="1" u="none" strike="noStrike" baseline="30000"/>
                  <a:t>s</a:t>
                </a:r>
                <a:r>
                  <a:rPr lang="en-GB" sz="1200" b="1" i="0" u="none" strike="noStrike" baseline="-25000"/>
                  <a:t>15</a:t>
                </a:r>
                <a:r>
                  <a:rPr lang="en-GB" sz="1200" b="1" i="0" u="none" strike="noStrike" baseline="0"/>
                  <a:t> </a:t>
                </a:r>
                <a:endParaRPr lang="en-GB"/>
              </a:p>
            </c:rich>
          </c:tx>
          <c:layout>
            <c:manualLayout>
              <c:xMode val="edge"/>
              <c:yMode val="edge"/>
              <c:x val="0.26130316640006562"/>
              <c:y val="1.079175667200892E-2"/>
            </c:manualLayout>
          </c:layout>
          <c:overlay val="0"/>
        </c:title>
        <c:numFmt formatCode="0.0" sourceLinked="0"/>
        <c:majorTickMark val="in"/>
        <c:minorTickMark val="none"/>
        <c:tickLblPos val="high"/>
        <c:crossAx val="113940352"/>
        <c:crosses val="autoZero"/>
        <c:crossBetween val="midCat"/>
      </c:valAx>
      <c:valAx>
        <c:axId val="113940352"/>
        <c:scaling>
          <c:orientation val="minMax"/>
        </c:scaling>
        <c:delete val="0"/>
        <c:axPos val="l"/>
        <c:title>
          <c:tx>
            <c:rich>
              <a:bodyPr rot="-5400000" vert="horz"/>
              <a:lstStyle/>
              <a:p>
                <a:pPr>
                  <a:defRPr/>
                </a:pPr>
                <a:r>
                  <a:rPr lang="en-GB" sz="1200" b="1" i="0" u="none" strike="noStrike" baseline="0">
                    <a:effectLst/>
                  </a:rPr>
                  <a:t>Logits des probabilités de survie observées à partir de 15 ans</a:t>
                </a:r>
                <a:r>
                  <a:rPr lang="en-GB" sz="1200" b="1" i="0" u="none" strike="noStrike" baseline="0"/>
                  <a:t> - </a:t>
                </a:r>
                <a:r>
                  <a:rPr lang="en-GB" sz="1200" b="1" i="1" u="none" strike="noStrike" baseline="-25000"/>
                  <a:t>x-10</a:t>
                </a:r>
                <a:r>
                  <a:rPr lang="en-GB" sz="1200" b="1" i="1" u="none" strike="noStrike" baseline="0"/>
                  <a:t>Y</a:t>
                </a:r>
                <a:r>
                  <a:rPr lang="en-GB" sz="1200" b="1" i="0" u="none" strike="noStrike" baseline="-25000"/>
                  <a:t>15</a:t>
                </a:r>
                <a:r>
                  <a:rPr lang="en-GB" sz="1200" b="1" i="0" u="none" strike="noStrike" baseline="0"/>
                  <a:t> </a:t>
                </a:r>
                <a:endParaRPr lang="en-GB"/>
              </a:p>
            </c:rich>
          </c:tx>
          <c:layout>
            <c:manualLayout>
              <c:xMode val="edge"/>
              <c:yMode val="edge"/>
              <c:x val="0.96914072433452492"/>
              <c:y val="0.14501097484495853"/>
            </c:manualLayout>
          </c:layout>
          <c:overlay val="0"/>
        </c:title>
        <c:numFmt formatCode="0.0" sourceLinked="0"/>
        <c:majorTickMark val="in"/>
        <c:minorTickMark val="none"/>
        <c:tickLblPos val="high"/>
        <c:crossAx val="113921024"/>
        <c:crosses val="autoZero"/>
        <c:crossBetween val="midCat"/>
      </c:valAx>
      <c:spPr>
        <a:solidFill>
          <a:sysClr val="window" lastClr="FFFFFF"/>
        </a:solidFill>
      </c:spPr>
    </c:plotArea>
    <c:legend>
      <c:legendPos val="b"/>
      <c:legendEntry>
        <c:idx val="2"/>
        <c:delete val="1"/>
      </c:legendEntry>
      <c:legendEntry>
        <c:idx val="3"/>
        <c:delete val="1"/>
      </c:legendEntry>
      <c:layout>
        <c:manualLayout>
          <c:xMode val="edge"/>
          <c:yMode val="edge"/>
          <c:x val="0.13103338665354169"/>
          <c:y val="0.94270193325465945"/>
          <c:w val="0.69849877002968563"/>
          <c:h val="4.7132647356959094E-2"/>
        </c:manualLayout>
      </c:layout>
      <c:overlay val="0"/>
    </c:legend>
    <c:plotVisOnly val="1"/>
    <c:dispBlanksAs val="gap"/>
    <c:showDLblsOverMax val="0"/>
  </c:chart>
  <c:spPr>
    <a:solidFill>
      <a:srgbClr val="D7E6E6"/>
    </a:solidFill>
    <a:ln>
      <a:solidFill>
        <a:srgbClr val="D7E6E6"/>
      </a:solidFill>
    </a:ln>
  </c:spPr>
  <c:txPr>
    <a:bodyPr/>
    <a:lstStyle/>
    <a:p>
      <a:pPr>
        <a:defRPr sz="1200">
          <a:latin typeface="Verdana" pitchFamily="34" charset="0"/>
          <a:ea typeface="Verdana" pitchFamily="34" charset="0"/>
          <a:cs typeface="Verdana" pitchFamily="34" charset="0"/>
        </a:defRPr>
      </a:pPr>
      <a:endParaRPr lang="en-US"/>
    </a:p>
  </c:txPr>
  <c:printSettings>
    <c:headerFooter/>
    <c:pageMargins b="0.75000000000000366" l="0.70000000000000062" r="0.70000000000000062" t="0.7500000000000036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2705142692849946E-2"/>
          <c:y val="0.10729493179549759"/>
          <c:w val="0.87789467208072491"/>
          <c:h val="0.81324449373405794"/>
        </c:manualLayout>
      </c:layout>
      <c:scatterChart>
        <c:scatterStyle val="lineMarker"/>
        <c:varyColors val="0"/>
        <c:ser>
          <c:idx val="0"/>
          <c:order val="0"/>
          <c:tx>
            <c:strRef>
              <c:f>'Hommes enquêtés'!$K$2</c:f>
              <c:strCache>
                <c:ptCount val="1"/>
                <c:pt idx="0">
                  <c:v>Soeurs  - période plus récente</c:v>
                </c:pt>
              </c:strCache>
            </c:strRef>
          </c:tx>
          <c:spPr>
            <a:ln w="28575">
              <a:noFill/>
            </a:ln>
          </c:spPr>
          <c:marker>
            <c:symbol val="diamond"/>
            <c:size val="6"/>
          </c:marker>
          <c:trendline>
            <c:spPr>
              <a:ln>
                <a:solidFill>
                  <a:schemeClr val="accent1"/>
                </a:solidFill>
              </a:ln>
            </c:spPr>
            <c:trendlineType val="linear"/>
            <c:dispRSqr val="0"/>
            <c:dispEq val="0"/>
          </c:trendline>
          <c:xVal>
            <c:numRef>
              <c:f>Modèles!$E$24:$E$32</c:f>
              <c:numCache>
                <c:formatCode>0.0000</c:formatCode>
                <c:ptCount val="9"/>
                <c:pt idx="0">
                  <c:v>-2.3610110805820632</c:v>
                </c:pt>
                <c:pt idx="1">
                  <c:v>-1.9174663495504836</c:v>
                </c:pt>
                <c:pt idx="2">
                  <c:v>-1.6697581422327181</c:v>
                </c:pt>
                <c:pt idx="3">
                  <c:v>-1.4822158787041915</c:v>
                </c:pt>
                <c:pt idx="4">
                  <c:v>-1.3235766709372385</c:v>
                </c:pt>
                <c:pt idx="5">
                  <c:v>-1.1705794558900271</c:v>
                </c:pt>
                <c:pt idx="6">
                  <c:v>-1.0189070384025609</c:v>
                </c:pt>
                <c:pt idx="7">
                  <c:v>-0.85259765908806195</c:v>
                </c:pt>
                <c:pt idx="8">
                  <c:v>-0.67175650587001401</c:v>
                </c:pt>
              </c:numCache>
            </c:numRef>
          </c:xVal>
          <c:yVal>
            <c:numRef>
              <c:f>'Hommes enquêtés'!$P$7:$P$15</c:f>
              <c:numCache>
                <c:formatCode>0.0000_)</c:formatCode>
                <c:ptCount val="9"/>
                <c:pt idx="0">
                  <c:v>0</c:v>
                </c:pt>
                <c:pt idx="1">
                  <c:v>0</c:v>
                </c:pt>
                <c:pt idx="2">
                  <c:v>0</c:v>
                </c:pt>
                <c:pt idx="3">
                  <c:v>0</c:v>
                </c:pt>
                <c:pt idx="4">
                  <c:v>0</c:v>
                </c:pt>
                <c:pt idx="5">
                  <c:v>0</c:v>
                </c:pt>
                <c:pt idx="6">
                  <c:v>0</c:v>
                </c:pt>
                <c:pt idx="7">
                  <c:v>0</c:v>
                </c:pt>
                <c:pt idx="8">
                  <c:v>0</c:v>
                </c:pt>
              </c:numCache>
            </c:numRef>
          </c:yVal>
          <c:smooth val="0"/>
        </c:ser>
        <c:ser>
          <c:idx val="2"/>
          <c:order val="1"/>
          <c:tx>
            <c:strRef>
              <c:f>'Hommes enquêtés'!$K$20</c:f>
              <c:strCache>
                <c:ptCount val="1"/>
                <c:pt idx="0">
                  <c:v>Soeurs - période plus ancienne</c:v>
                </c:pt>
              </c:strCache>
            </c:strRef>
          </c:tx>
          <c:spPr>
            <a:ln w="28575">
              <a:noFill/>
            </a:ln>
          </c:spPr>
          <c:marker>
            <c:symbol val="square"/>
            <c:size val="5"/>
            <c:spPr>
              <a:solidFill>
                <a:schemeClr val="accent4"/>
              </a:solidFill>
              <a:ln>
                <a:solidFill>
                  <a:srgbClr val="8064A2"/>
                </a:solidFill>
              </a:ln>
            </c:spPr>
          </c:marker>
          <c:trendline>
            <c:spPr>
              <a:ln>
                <a:solidFill>
                  <a:schemeClr val="accent4"/>
                </a:solidFill>
              </a:ln>
            </c:spPr>
            <c:trendlineType val="linear"/>
            <c:dispRSqr val="0"/>
            <c:dispEq val="0"/>
          </c:trendline>
          <c:xVal>
            <c:numRef>
              <c:f>Modèles!$E$24:$E$32</c:f>
              <c:numCache>
                <c:formatCode>0.0000</c:formatCode>
                <c:ptCount val="9"/>
                <c:pt idx="0">
                  <c:v>-2.3610110805820632</c:v>
                </c:pt>
                <c:pt idx="1">
                  <c:v>-1.9174663495504836</c:v>
                </c:pt>
                <c:pt idx="2">
                  <c:v>-1.6697581422327181</c:v>
                </c:pt>
                <c:pt idx="3">
                  <c:v>-1.4822158787041915</c:v>
                </c:pt>
                <c:pt idx="4">
                  <c:v>-1.3235766709372385</c:v>
                </c:pt>
                <c:pt idx="5">
                  <c:v>-1.1705794558900271</c:v>
                </c:pt>
                <c:pt idx="6">
                  <c:v>-1.0189070384025609</c:v>
                </c:pt>
                <c:pt idx="7">
                  <c:v>-0.85259765908806195</c:v>
                </c:pt>
                <c:pt idx="8">
                  <c:v>-0.67175650587001401</c:v>
                </c:pt>
              </c:numCache>
            </c:numRef>
          </c:xVal>
          <c:yVal>
            <c:numRef>
              <c:f>'Hommes enquêtés'!$P$25:$P$33</c:f>
              <c:numCache>
                <c:formatCode>0.0000_)</c:formatCode>
                <c:ptCount val="9"/>
                <c:pt idx="0">
                  <c:v>0</c:v>
                </c:pt>
                <c:pt idx="1">
                  <c:v>0</c:v>
                </c:pt>
                <c:pt idx="2">
                  <c:v>0</c:v>
                </c:pt>
                <c:pt idx="3">
                  <c:v>0</c:v>
                </c:pt>
                <c:pt idx="4">
                  <c:v>0</c:v>
                </c:pt>
                <c:pt idx="5">
                  <c:v>0</c:v>
                </c:pt>
                <c:pt idx="6">
                  <c:v>0</c:v>
                </c:pt>
                <c:pt idx="7">
                  <c:v>0</c:v>
                </c:pt>
                <c:pt idx="8">
                  <c:v>0</c:v>
                </c:pt>
              </c:numCache>
            </c:numRef>
          </c:yVal>
          <c:smooth val="0"/>
        </c:ser>
        <c:dLbls>
          <c:showLegendKey val="0"/>
          <c:showVal val="0"/>
          <c:showCatName val="0"/>
          <c:showSerName val="0"/>
          <c:showPercent val="0"/>
          <c:showBubbleSize val="0"/>
        </c:dLbls>
        <c:axId val="116841856"/>
        <c:axId val="121472512"/>
      </c:scatterChart>
      <c:valAx>
        <c:axId val="116841856"/>
        <c:scaling>
          <c:orientation val="minMax"/>
        </c:scaling>
        <c:delete val="0"/>
        <c:axPos val="b"/>
        <c:title>
          <c:tx>
            <c:rich>
              <a:bodyPr/>
              <a:lstStyle/>
              <a:p>
                <a:pPr>
                  <a:defRPr/>
                </a:pPr>
                <a:r>
                  <a:rPr lang="en-GB" sz="1200" b="1" i="0" u="none" strike="noStrike" baseline="0">
                    <a:effectLst/>
                  </a:rPr>
                  <a:t>Logits des probabilités de survie du standard à partir de 15 ans</a:t>
                </a:r>
                <a:r>
                  <a:rPr lang="en-GB" sz="1200" b="1" i="0" u="none" strike="noStrike" baseline="0"/>
                  <a:t>- </a:t>
                </a:r>
                <a:r>
                  <a:rPr lang="en-GB" sz="1200" b="1" i="1" u="none" strike="noStrike" baseline="-25000"/>
                  <a:t>x-10</a:t>
                </a:r>
                <a:r>
                  <a:rPr lang="en-GB" sz="1200" b="1" i="1" u="none" strike="noStrike" baseline="0"/>
                  <a:t>Y</a:t>
                </a:r>
                <a:r>
                  <a:rPr lang="en-GB" sz="1200" b="1" i="1" u="none" strike="noStrike" baseline="30000"/>
                  <a:t>s</a:t>
                </a:r>
                <a:r>
                  <a:rPr lang="en-GB" sz="1200" b="1" i="0" u="none" strike="noStrike" baseline="-25000"/>
                  <a:t>15</a:t>
                </a:r>
                <a:r>
                  <a:rPr lang="en-GB" sz="1200" b="1" i="0" u="none" strike="noStrike" baseline="0"/>
                  <a:t> </a:t>
                </a:r>
                <a:endParaRPr lang="en-GB"/>
              </a:p>
            </c:rich>
          </c:tx>
          <c:layout>
            <c:manualLayout>
              <c:xMode val="edge"/>
              <c:yMode val="edge"/>
              <c:x val="0.26130316640006562"/>
              <c:y val="6.3373790338464514E-3"/>
            </c:manualLayout>
          </c:layout>
          <c:overlay val="0"/>
        </c:title>
        <c:numFmt formatCode="0.0" sourceLinked="0"/>
        <c:majorTickMark val="in"/>
        <c:minorTickMark val="none"/>
        <c:tickLblPos val="high"/>
        <c:crossAx val="121472512"/>
        <c:crosses val="autoZero"/>
        <c:crossBetween val="midCat"/>
      </c:valAx>
      <c:valAx>
        <c:axId val="121472512"/>
        <c:scaling>
          <c:orientation val="minMax"/>
        </c:scaling>
        <c:delete val="0"/>
        <c:axPos val="l"/>
        <c:title>
          <c:tx>
            <c:rich>
              <a:bodyPr rot="-5400000" vert="horz"/>
              <a:lstStyle/>
              <a:p>
                <a:pPr>
                  <a:defRPr/>
                </a:pPr>
                <a:r>
                  <a:rPr lang="en-GB" sz="1200" b="1" i="0" u="none" strike="noStrike" baseline="0">
                    <a:effectLst/>
                  </a:rPr>
                  <a:t>Logits des probabilités de survie observées à partir de 15 ans</a:t>
                </a:r>
                <a:r>
                  <a:rPr lang="en-GB" sz="1200" b="1" i="0" u="none" strike="noStrike" baseline="0"/>
                  <a:t> - </a:t>
                </a:r>
                <a:r>
                  <a:rPr lang="en-GB" sz="1200" b="1" i="1" u="none" strike="noStrike" baseline="-25000"/>
                  <a:t>x-10</a:t>
                </a:r>
                <a:r>
                  <a:rPr lang="en-GB" sz="1200" b="1" i="1" u="none" strike="noStrike" baseline="0"/>
                  <a:t>Y</a:t>
                </a:r>
                <a:r>
                  <a:rPr lang="en-GB" sz="1200" b="1" i="0" u="none" strike="noStrike" baseline="-25000"/>
                  <a:t>15</a:t>
                </a:r>
                <a:r>
                  <a:rPr lang="en-GB" sz="1200" b="1" i="0" u="none" strike="noStrike" baseline="0"/>
                  <a:t> </a:t>
                </a:r>
                <a:endParaRPr lang="en-GB"/>
              </a:p>
            </c:rich>
          </c:tx>
          <c:layout>
            <c:manualLayout>
              <c:xMode val="edge"/>
              <c:yMode val="edge"/>
              <c:x val="0.96914072433452492"/>
              <c:y val="0.14740402585863541"/>
            </c:manualLayout>
          </c:layout>
          <c:overlay val="0"/>
        </c:title>
        <c:numFmt formatCode="0.0" sourceLinked="0"/>
        <c:majorTickMark val="in"/>
        <c:minorTickMark val="none"/>
        <c:tickLblPos val="high"/>
        <c:crossAx val="116841856"/>
        <c:crosses val="autoZero"/>
        <c:crossBetween val="midCat"/>
      </c:valAx>
      <c:spPr>
        <a:solidFill>
          <a:sysClr val="window" lastClr="FFFFFF"/>
        </a:solidFill>
      </c:spPr>
    </c:plotArea>
    <c:legend>
      <c:legendPos val="b"/>
      <c:legendEntry>
        <c:idx val="2"/>
        <c:delete val="1"/>
      </c:legendEntry>
      <c:legendEntry>
        <c:idx val="3"/>
        <c:delete val="1"/>
      </c:legendEntry>
      <c:layout>
        <c:manualLayout>
          <c:xMode val="edge"/>
          <c:yMode val="edge"/>
          <c:x val="0.13103338665354169"/>
          <c:y val="0.94270193325465979"/>
          <c:w val="0.69849877002968563"/>
          <c:h val="4.7132647356959094E-2"/>
        </c:manualLayout>
      </c:layout>
      <c:overlay val="0"/>
    </c:legend>
    <c:plotVisOnly val="1"/>
    <c:dispBlanksAs val="gap"/>
    <c:showDLblsOverMax val="0"/>
  </c:chart>
  <c:spPr>
    <a:solidFill>
      <a:srgbClr val="D7E6E6"/>
    </a:solidFill>
    <a:ln>
      <a:solidFill>
        <a:srgbClr val="D7E6E6"/>
      </a:solidFill>
    </a:ln>
  </c:spPr>
  <c:txPr>
    <a:bodyPr/>
    <a:lstStyle/>
    <a:p>
      <a:pPr>
        <a:defRPr sz="1200">
          <a:latin typeface="Verdana" pitchFamily="34" charset="0"/>
          <a:ea typeface="Verdana" pitchFamily="34" charset="0"/>
          <a:cs typeface="Verdana" pitchFamily="34" charset="0"/>
        </a:defRPr>
      </a:pPr>
      <a:endParaRPr lang="en-US"/>
    </a:p>
  </c:txPr>
  <c:printSettings>
    <c:headerFooter/>
    <c:pageMargins b="0.75000000000000389" l="0.70000000000000062" r="0.70000000000000062" t="0.75000000000000389"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13607</xdr:colOff>
      <xdr:row>39</xdr:row>
      <xdr:rowOff>147864</xdr:rowOff>
    </xdr:from>
    <xdr:to>
      <xdr:col>16</xdr:col>
      <xdr:colOff>12407</xdr:colOff>
      <xdr:row>76</xdr:row>
      <xdr:rowOff>10239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32658</xdr:colOff>
      <xdr:row>1</xdr:row>
      <xdr:rowOff>97132</xdr:rowOff>
    </xdr:from>
    <xdr:to>
      <xdr:col>16</xdr:col>
      <xdr:colOff>31458</xdr:colOff>
      <xdr:row>37</xdr:row>
      <xdr:rowOff>121432</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238125</xdr:colOff>
      <xdr:row>1</xdr:row>
      <xdr:rowOff>92075</xdr:rowOff>
    </xdr:from>
    <xdr:to>
      <xdr:col>32</xdr:col>
      <xdr:colOff>236925</xdr:colOff>
      <xdr:row>37</xdr:row>
      <xdr:rowOff>116375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209550</xdr:colOff>
      <xdr:row>39</xdr:row>
      <xdr:rowOff>144454</xdr:rowOff>
    </xdr:from>
    <xdr:to>
      <xdr:col>32</xdr:col>
      <xdr:colOff>208350</xdr:colOff>
      <xdr:row>76</xdr:row>
      <xdr:rowOff>6829</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1/ADMINI~1/LOCALS~1/Temp/Orphanhood%20metho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Model data"/>
      <sheetName val="Maternal orphanhood"/>
      <sheetName val="Paternal orphanhood"/>
      <sheetName val="Graphs"/>
    </sheetNames>
    <sheetDataSet>
      <sheetData sheetId="0"/>
      <sheetData sheetId="1">
        <row r="1">
          <cell r="R1">
            <v>1999.65</v>
          </cell>
        </row>
      </sheetData>
      <sheetData sheetId="2">
        <row r="1">
          <cell r="R1">
            <v>1999.65</v>
          </cell>
        </row>
      </sheetData>
      <sheetData sheetId="3">
        <row r="1">
          <cell r="S1">
            <v>1999.65</v>
          </cell>
        </row>
        <row r="17">
          <cell r="C17">
            <v>32.96050811424012</v>
          </cell>
        </row>
      </sheetData>
      <sheetData sheetId="4">
        <row r="17">
          <cell r="C17">
            <v>27.96050811424012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demographicestimation.iussp.org/fr/content/estimation-de-la-mortalit&#233;-adulte-&#224;-partir-de-la-survie-des-fr&#232;res-et-s&#339;urs"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D18"/>
  <sheetViews>
    <sheetView tabSelected="1" workbookViewId="0">
      <selection activeCell="A2" sqref="A2"/>
    </sheetView>
  </sheetViews>
  <sheetFormatPr defaultColWidth="9.140625" defaultRowHeight="12.75"/>
  <cols>
    <col min="1" max="1" width="3.85546875" customWidth="1"/>
    <col min="2" max="2" width="86.5703125" customWidth="1"/>
    <col min="3" max="3" width="35.5703125" customWidth="1"/>
    <col min="4" max="4" width="21.42578125" customWidth="1"/>
  </cols>
  <sheetData>
    <row r="1" spans="1:4" ht="33" customHeight="1">
      <c r="B1" s="90" t="s">
        <v>19</v>
      </c>
    </row>
    <row r="2" spans="1:4" ht="15.75">
      <c r="A2" s="95"/>
      <c r="B2" s="15"/>
    </row>
    <row r="3" spans="1:4" ht="15">
      <c r="B3" s="16" t="s">
        <v>20</v>
      </c>
    </row>
    <row r="4" spans="1:4" ht="15">
      <c r="B4" s="99" t="s">
        <v>57</v>
      </c>
      <c r="C4" s="99"/>
    </row>
    <row r="5" spans="1:4" ht="15.75">
      <c r="B5" s="15"/>
    </row>
    <row r="6" spans="1:4" ht="45">
      <c r="B6" s="17" t="s">
        <v>21</v>
      </c>
    </row>
    <row r="7" spans="1:4" ht="167.25" customHeight="1">
      <c r="B7" s="17" t="s">
        <v>62</v>
      </c>
    </row>
    <row r="8" spans="1:4" ht="15.75" thickBot="1">
      <c r="B8" s="17"/>
    </row>
    <row r="9" spans="1:4" ht="16.5" thickBot="1">
      <c r="A9" s="42"/>
      <c r="B9" s="43" t="s">
        <v>22</v>
      </c>
      <c r="C9" s="97" t="s">
        <v>23</v>
      </c>
      <c r="D9" s="98"/>
    </row>
    <row r="10" spans="1:4" ht="45">
      <c r="A10" s="42" t="s">
        <v>4</v>
      </c>
      <c r="B10" s="44" t="s">
        <v>58</v>
      </c>
      <c r="C10" s="58" t="s">
        <v>24</v>
      </c>
      <c r="D10" s="87" t="s">
        <v>61</v>
      </c>
    </row>
    <row r="11" spans="1:4" ht="45.75" customHeight="1">
      <c r="A11" s="42" t="s">
        <v>5</v>
      </c>
      <c r="B11" s="44" t="s">
        <v>59</v>
      </c>
      <c r="C11" s="93" t="s">
        <v>25</v>
      </c>
      <c r="D11" s="88" t="s">
        <v>37</v>
      </c>
    </row>
    <row r="12" spans="1:4" ht="30">
      <c r="A12" s="42" t="s">
        <v>6</v>
      </c>
      <c r="B12" s="44" t="s">
        <v>28</v>
      </c>
      <c r="C12" s="66" t="s">
        <v>60</v>
      </c>
      <c r="D12" s="89">
        <v>36974</v>
      </c>
    </row>
    <row r="13" spans="1:4" ht="45">
      <c r="A13" s="42" t="s">
        <v>7</v>
      </c>
      <c r="B13" s="44" t="s">
        <v>63</v>
      </c>
      <c r="C13" s="66" t="s">
        <v>26</v>
      </c>
      <c r="D13" s="109">
        <v>3</v>
      </c>
    </row>
    <row r="14" spans="1:4" ht="45.75" thickBot="1">
      <c r="A14" s="42" t="s">
        <v>16</v>
      </c>
      <c r="B14" s="44" t="s">
        <v>29</v>
      </c>
      <c r="C14" s="45" t="s">
        <v>27</v>
      </c>
      <c r="D14" s="110">
        <v>4</v>
      </c>
    </row>
    <row r="15" spans="1:4" ht="53.25" customHeight="1">
      <c r="A15" s="42"/>
      <c r="B15" s="72" t="s">
        <v>30</v>
      </c>
    </row>
    <row r="16" spans="1:4" ht="62.25">
      <c r="A16" s="18" t="s">
        <v>17</v>
      </c>
      <c r="B16" s="19" t="s">
        <v>31</v>
      </c>
    </row>
    <row r="17" spans="1:2" ht="64.5" customHeight="1">
      <c r="A17" s="18" t="s">
        <v>18</v>
      </c>
      <c r="B17" s="19" t="s">
        <v>32</v>
      </c>
    </row>
    <row r="18" spans="1:2" ht="15">
      <c r="B18" s="19"/>
    </row>
  </sheetData>
  <sheetProtection sheet="1" objects="1" scenarios="1" selectLockedCells="1"/>
  <mergeCells count="2">
    <mergeCell ref="C9:D9"/>
    <mergeCell ref="B4:C4"/>
  </mergeCells>
  <dataValidations count="3">
    <dataValidation type="date" operator="greaterThanOrEqual" showInputMessage="1" showErrorMessage="1" promptTitle="La date" prompt="Veuillez remplir la date en utilisant le format standard de date en fonction de votre ordinateur." sqref="D12">
      <formula1>1</formula1>
    </dataValidation>
    <dataValidation type="list" showInputMessage="1" showErrorMessage="1" sqref="D11">
      <formula1>Model_LTs</formula1>
    </dataValidation>
    <dataValidation type="decimal" operator="greaterThanOrEqual" allowBlank="1" showInputMessage="1" showErrorMessage="1" sqref="D13:D14 A2">
      <formula1>0</formula1>
    </dataValidation>
  </dataValidations>
  <hyperlinks>
    <hyperlink ref="B4" r:id="rId1"/>
  </hyperlinks>
  <pageMargins left="0.51181102362204722" right="0.55118110236220474" top="0.74803149606299213" bottom="0.74803149606299213" header="0.31496062992125984" footer="0.31496062992125984"/>
  <pageSetup paperSize="9" scale="70" orientation="portrait" r:id="rId2"/>
  <headerFooter>
    <oddHeader>&amp;L&amp;"+,Bold"&amp;14Tools for Demographic Estimation&amp;R&amp;"+,Bold"&amp;14Siblings - direct calculations</oddHeader>
    <oddFooter>&amp;L&amp;"+,Regular"&amp;12&amp;F&amp;R&amp;"+,Regular"&amp;12&amp;D  &amp;T</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59999389629810485"/>
  </sheetPr>
  <dimension ref="A1:G34"/>
  <sheetViews>
    <sheetView workbookViewId="0">
      <selection activeCell="F1" sqref="F1"/>
    </sheetView>
  </sheetViews>
  <sheetFormatPr defaultColWidth="9.140625" defaultRowHeight="12.75"/>
  <cols>
    <col min="1" max="1" width="10.85546875" style="26" customWidth="1"/>
    <col min="2" max="7" width="14.7109375" style="26" customWidth="1"/>
    <col min="8" max="16384" width="9.140625" style="26"/>
  </cols>
  <sheetData>
    <row r="1" spans="1:7" ht="15.75" customHeight="1">
      <c r="A1" s="91" t="s">
        <v>33</v>
      </c>
    </row>
    <row r="2" spans="1:7" ht="15.75" customHeight="1">
      <c r="A2" s="92" t="s">
        <v>0</v>
      </c>
      <c r="B2" s="92" t="s">
        <v>34</v>
      </c>
      <c r="C2" s="92" t="s">
        <v>35</v>
      </c>
      <c r="D2" s="92" t="s">
        <v>36</v>
      </c>
      <c r="E2" s="92" t="s">
        <v>37</v>
      </c>
      <c r="F2" s="92" t="s">
        <v>38</v>
      </c>
      <c r="G2" s="28" t="s">
        <v>56</v>
      </c>
    </row>
    <row r="3" spans="1:7" ht="15.75" customHeight="1">
      <c r="A3" s="29">
        <v>15</v>
      </c>
      <c r="B3" s="85">
        <v>-1.0121945536850769</v>
      </c>
      <c r="C3" s="85">
        <v>-0.97971406825728613</v>
      </c>
      <c r="D3" s="85">
        <v>-0.96635456814626275</v>
      </c>
      <c r="E3" s="85">
        <v>-0.88990310948808893</v>
      </c>
      <c r="F3" s="85">
        <v>-1.0293119689456429</v>
      </c>
      <c r="G3" s="75"/>
    </row>
    <row r="4" spans="1:7" ht="15.75" customHeight="1">
      <c r="A4" s="30">
        <v>20</v>
      </c>
      <c r="B4" s="85">
        <v>-0.97234684182353803</v>
      </c>
      <c r="C4" s="85">
        <v>-0.94156371692343144</v>
      </c>
      <c r="D4" s="85">
        <v>-0.91382222014342573</v>
      </c>
      <c r="E4" s="85">
        <v>-0.85999289910331278</v>
      </c>
      <c r="F4" s="85">
        <v>-0.97893414503700538</v>
      </c>
      <c r="G4" s="75"/>
    </row>
    <row r="5" spans="1:7" ht="15.75" customHeight="1">
      <c r="A5" s="30">
        <v>25</v>
      </c>
      <c r="B5" s="85">
        <v>-0.92078751270821413</v>
      </c>
      <c r="C5" s="85">
        <v>-0.89159541950333177</v>
      </c>
      <c r="D5" s="85">
        <v>-0.85013265027358209</v>
      </c>
      <c r="E5" s="85">
        <v>-0.82016153698599226</v>
      </c>
      <c r="F5" s="85">
        <v>-0.91633966970304337</v>
      </c>
      <c r="G5" s="75"/>
    </row>
    <row r="6" spans="1:7" ht="15.75" customHeight="1">
      <c r="A6" s="30">
        <v>30</v>
      </c>
      <c r="B6" s="85">
        <v>-0.86548423243967132</v>
      </c>
      <c r="C6" s="85">
        <v>-0.84219551169775642</v>
      </c>
      <c r="D6" s="85">
        <v>-0.78726242697886062</v>
      </c>
      <c r="E6" s="85">
        <v>-0.78007392332133241</v>
      </c>
      <c r="F6" s="85">
        <v>-0.85459253778955946</v>
      </c>
      <c r="G6" s="75"/>
    </row>
    <row r="7" spans="1:7" ht="15.75" customHeight="1">
      <c r="A7" s="30">
        <v>35</v>
      </c>
      <c r="B7" s="85">
        <v>-0.80533674084601314</v>
      </c>
      <c r="C7" s="85">
        <v>-0.79104803230330434</v>
      </c>
      <c r="D7" s="85">
        <v>-0.72474545944961821</v>
      </c>
      <c r="E7" s="85">
        <v>-0.73709896740170688</v>
      </c>
      <c r="F7" s="85">
        <v>-0.79123192333414838</v>
      </c>
      <c r="G7" s="75"/>
    </row>
    <row r="8" spans="1:7" ht="15.75" customHeight="1">
      <c r="A8" s="30">
        <v>40</v>
      </c>
      <c r="B8" s="85">
        <v>-0.73732521540819196</v>
      </c>
      <c r="C8" s="85">
        <v>-0.73425391825061403</v>
      </c>
      <c r="D8" s="85">
        <v>-0.66077403595339856</v>
      </c>
      <c r="E8" s="85">
        <v>-0.69020740216054988</v>
      </c>
      <c r="F8" s="85">
        <v>-0.72290929940989257</v>
      </c>
      <c r="G8" s="75"/>
    </row>
    <row r="9" spans="1:7" ht="15.75" customHeight="1">
      <c r="A9" s="30">
        <v>45</v>
      </c>
      <c r="B9" s="85">
        <v>-0.65863624320988345</v>
      </c>
      <c r="C9" s="85">
        <v>-0.66825754255920489</v>
      </c>
      <c r="D9" s="85">
        <v>-0.5904613819796557</v>
      </c>
      <c r="E9" s="85">
        <v>-0.63449440257961387</v>
      </c>
      <c r="F9" s="85">
        <v>-0.6461549890735192</v>
      </c>
      <c r="G9" s="75"/>
    </row>
    <row r="10" spans="1:7" ht="15.75" customHeight="1">
      <c r="A10" s="30">
        <v>50</v>
      </c>
      <c r="B10" s="85">
        <v>-0.56432091512237903</v>
      </c>
      <c r="C10" s="85">
        <v>-0.58660888869906025</v>
      </c>
      <c r="D10" s="85">
        <v>-0.51474890543256313</v>
      </c>
      <c r="E10" s="85">
        <v>-0.56821295557201257</v>
      </c>
      <c r="F10" s="85">
        <v>-0.55659173180953114</v>
      </c>
      <c r="G10" s="75"/>
    </row>
    <row r="11" spans="1:7" ht="15.75" customHeight="1">
      <c r="A11" s="30">
        <v>55</v>
      </c>
      <c r="B11" s="85">
        <v>-0.44835796349979129</v>
      </c>
      <c r="C11" s="85">
        <v>-0.48111641634940366</v>
      </c>
      <c r="D11" s="85">
        <v>-0.42188099777551347</v>
      </c>
      <c r="E11" s="85">
        <v>-0.48239734581505644</v>
      </c>
      <c r="F11" s="85">
        <v>-0.44666706004400114</v>
      </c>
      <c r="G11" s="75"/>
    </row>
    <row r="12" spans="1:7" ht="15.75" customHeight="1">
      <c r="A12" s="30">
        <v>60</v>
      </c>
      <c r="B12" s="85">
        <v>-0.30638850188113281</v>
      </c>
      <c r="C12" s="85">
        <v>-0.34745214284807552</v>
      </c>
      <c r="D12" s="85">
        <v>-0.31373408763068089</v>
      </c>
      <c r="E12" s="85">
        <v>-0.37368650277193127</v>
      </c>
      <c r="F12" s="85">
        <v>-0.31288957869926254</v>
      </c>
      <c r="G12" s="75"/>
    </row>
    <row r="13" spans="1:7" ht="15.75" customHeight="1">
      <c r="A13" s="30">
        <v>65</v>
      </c>
      <c r="B13" s="85">
        <v>-0.13218620461701414</v>
      </c>
      <c r="C13" s="85">
        <v>-0.17916315353789958</v>
      </c>
      <c r="D13" s="85">
        <v>-0.17374005998585826</v>
      </c>
      <c r="E13" s="85">
        <v>-0.22956293913585316</v>
      </c>
      <c r="F13" s="85">
        <v>-0.14574826715382799</v>
      </c>
      <c r="G13" s="75"/>
    </row>
    <row r="14" spans="1:7" ht="15.75" customHeight="1">
      <c r="A14" s="30">
        <v>70</v>
      </c>
      <c r="B14" s="85">
        <v>8.1075417880201409E-2</v>
      </c>
      <c r="C14" s="85">
        <v>3.4873769526037102E-2</v>
      </c>
      <c r="D14" s="85">
        <v>7.709813626405328E-3</v>
      </c>
      <c r="E14" s="85">
        <v>-4.0702942595531359E-2</v>
      </c>
      <c r="F14" s="85">
        <v>6.0162515402529336E-2</v>
      </c>
      <c r="G14" s="75"/>
    </row>
    <row r="15" spans="1:7" ht="15.75" customHeight="1">
      <c r="A15" s="30">
        <v>75</v>
      </c>
      <c r="B15" s="85">
        <v>0.34157292464829403</v>
      </c>
      <c r="C15" s="85">
        <v>0.3123474009290419</v>
      </c>
      <c r="D15" s="85">
        <v>0.24438970566438267</v>
      </c>
      <c r="E15" s="85">
        <v>0.21969545818577857</v>
      </c>
      <c r="F15" s="85">
        <v>0.32200302729512403</v>
      </c>
      <c r="G15" s="75"/>
    </row>
    <row r="16" spans="1:7" ht="15.75" customHeight="1">
      <c r="A16" s="30">
        <v>80</v>
      </c>
      <c r="B16" s="85">
        <v>0.6615291707175992</v>
      </c>
      <c r="C16" s="85">
        <v>0.67726953010875401</v>
      </c>
      <c r="D16" s="85">
        <v>0.5542075593189103</v>
      </c>
      <c r="E16" s="85">
        <v>0.58006843196258251</v>
      </c>
      <c r="F16" s="85">
        <v>0.66202299315788493</v>
      </c>
      <c r="G16" s="75"/>
    </row>
    <row r="17" spans="1:7" ht="15.75" customHeight="1">
      <c r="A17" s="32">
        <v>85</v>
      </c>
      <c r="B17" s="86">
        <v>1.067151820502233</v>
      </c>
      <c r="C17" s="86">
        <v>1.17951998038618</v>
      </c>
      <c r="D17" s="86">
        <v>0.97306427262294348</v>
      </c>
      <c r="E17" s="86">
        <v>1.0907265436318963</v>
      </c>
      <c r="F17" s="86">
        <v>1.1203444618292409</v>
      </c>
      <c r="G17" s="76"/>
    </row>
    <row r="18" spans="1:7" ht="15.75" customHeight="1"/>
    <row r="19" spans="1:7" ht="15.75" customHeight="1">
      <c r="A19" s="33" t="s">
        <v>10</v>
      </c>
      <c r="B19" s="34" t="s">
        <v>11</v>
      </c>
      <c r="C19" s="94">
        <v>0</v>
      </c>
    </row>
    <row r="20" spans="1:7" ht="15.75" customHeight="1">
      <c r="A20" s="27"/>
      <c r="B20" s="34" t="s">
        <v>12</v>
      </c>
      <c r="C20" s="94">
        <v>1</v>
      </c>
    </row>
    <row r="21" spans="1:7" ht="15.75" customHeight="1">
      <c r="A21" s="35" t="s">
        <v>0</v>
      </c>
      <c r="B21" s="35" t="str">
        <f>Introduction!D11</f>
        <v>Princeton Sud</v>
      </c>
      <c r="C21" s="35" t="s">
        <v>39</v>
      </c>
      <c r="D21" s="100" t="s">
        <v>40</v>
      </c>
      <c r="E21" s="35"/>
    </row>
    <row r="22" spans="1:7" ht="15.75" customHeight="1">
      <c r="A22" s="31"/>
      <c r="B22" s="36" t="s">
        <v>13</v>
      </c>
      <c r="C22" s="36" t="s">
        <v>14</v>
      </c>
      <c r="D22" s="101"/>
      <c r="E22" s="1" t="s">
        <v>15</v>
      </c>
    </row>
    <row r="23" spans="1:7" ht="15.75" customHeight="1">
      <c r="A23" s="37">
        <v>15</v>
      </c>
      <c r="B23" s="48">
        <f>HLOOKUP(Introduction!D$11,$B$2:$F$17,ROW()-ROW(B$23)+2,FALSE)</f>
        <v>-0.88990310948808893</v>
      </c>
      <c r="C23" s="38">
        <f t="shared" ref="C23:C32" si="0">C$19+C$20*B23</f>
        <v>-0.88990310948808893</v>
      </c>
      <c r="D23" s="51">
        <f>(1+EXP(2*C$23))/(1+EXP(2*C23))</f>
        <v>1</v>
      </c>
      <c r="E23" s="38"/>
    </row>
    <row r="24" spans="1:7" ht="15.75" customHeight="1">
      <c r="A24" s="37">
        <v>20</v>
      </c>
      <c r="B24" s="49">
        <f>HLOOKUP(Introduction!D$11,$B$2:$F$17,ROW()-ROW(B$23)+2,FALSE)</f>
        <v>-0.85999289910331278</v>
      </c>
      <c r="C24" s="38">
        <f t="shared" si="0"/>
        <v>-0.85999289910331278</v>
      </c>
      <c r="D24" s="38">
        <f t="shared" ref="D24:D32" si="1">(1+EXP(2*C$23))/(1+EXP(2*C24))</f>
        <v>0.99118129269182109</v>
      </c>
      <c r="E24" s="38">
        <f>-0.5*LN(D24/(1-D24))</f>
        <v>-2.3610110805820632</v>
      </c>
    </row>
    <row r="25" spans="1:7" ht="15.75" customHeight="1">
      <c r="A25" s="37">
        <v>25</v>
      </c>
      <c r="B25" s="49">
        <f>HLOOKUP(Introduction!D$11,$B$2:$F$17,ROW()-ROW(B$23)+2,FALSE)</f>
        <v>-0.82016153698599226</v>
      </c>
      <c r="C25" s="38">
        <f t="shared" si="0"/>
        <v>-0.82016153698599226</v>
      </c>
      <c r="D25" s="38">
        <f t="shared" si="1"/>
        <v>0.97885401990750298</v>
      </c>
      <c r="E25" s="38">
        <f t="shared" ref="E25:E32" si="2">-0.5*LN(D25/(1-D25))</f>
        <v>-1.9174663495504836</v>
      </c>
    </row>
    <row r="26" spans="1:7" ht="15.75" customHeight="1">
      <c r="A26" s="37">
        <v>30</v>
      </c>
      <c r="B26" s="49">
        <f>HLOOKUP(Introduction!D$11,$B$2:$F$17,ROW()-ROW(B$23)+2,FALSE)</f>
        <v>-0.78007392332133241</v>
      </c>
      <c r="C26" s="38">
        <f t="shared" si="0"/>
        <v>-0.78007392332133241</v>
      </c>
      <c r="D26" s="38">
        <f t="shared" si="1"/>
        <v>0.96575985052079005</v>
      </c>
      <c r="E26" s="38">
        <f t="shared" si="2"/>
        <v>-1.6697581422327181</v>
      </c>
    </row>
    <row r="27" spans="1:7" ht="15.75" customHeight="1">
      <c r="A27" s="37">
        <v>35</v>
      </c>
      <c r="B27" s="49">
        <f>HLOOKUP(Introduction!D$11,$B$2:$F$17,ROW()-ROW(B$23)+2,FALSE)</f>
        <v>-0.73709896740170688</v>
      </c>
      <c r="C27" s="38">
        <f t="shared" si="0"/>
        <v>-0.73709896740170688</v>
      </c>
      <c r="D27" s="38">
        <f t="shared" si="1"/>
        <v>0.95094115825171366</v>
      </c>
      <c r="E27" s="38">
        <f t="shared" si="2"/>
        <v>-1.4822158787041915</v>
      </c>
    </row>
    <row r="28" spans="1:7" ht="15.75" customHeight="1">
      <c r="A28" s="37">
        <v>40</v>
      </c>
      <c r="B28" s="49">
        <f>HLOOKUP(Introduction!D$11,$B$2:$F$17,ROW()-ROW(B$23)+2,FALSE)</f>
        <v>-0.69020740216054988</v>
      </c>
      <c r="C28" s="38">
        <f t="shared" si="0"/>
        <v>-0.69020740216054988</v>
      </c>
      <c r="D28" s="38">
        <f t="shared" si="1"/>
        <v>0.93383532135481595</v>
      </c>
      <c r="E28" s="38">
        <f t="shared" si="2"/>
        <v>-1.3235766709372385</v>
      </c>
    </row>
    <row r="29" spans="1:7" ht="15.75" customHeight="1">
      <c r="A29" s="37">
        <v>45</v>
      </c>
      <c r="B29" s="49">
        <f>HLOOKUP(Introduction!D$11,$B$2:$F$17,ROW()-ROW(B$23)+2,FALSE)</f>
        <v>-0.63449440257961387</v>
      </c>
      <c r="C29" s="38">
        <f t="shared" si="0"/>
        <v>-0.63449440257961387</v>
      </c>
      <c r="D29" s="38">
        <f t="shared" si="1"/>
        <v>0.91222892046817927</v>
      </c>
      <c r="E29" s="38">
        <f t="shared" si="2"/>
        <v>-1.1705794558900271</v>
      </c>
    </row>
    <row r="30" spans="1:7" ht="15.75" customHeight="1">
      <c r="A30" s="37">
        <v>50</v>
      </c>
      <c r="B30" s="49">
        <f>HLOOKUP(Introduction!D$11,$B$2:$F$17,ROW()-ROW(B$23)+2,FALSE)</f>
        <v>-0.56821295557201257</v>
      </c>
      <c r="C30" s="38">
        <f t="shared" si="0"/>
        <v>-0.56821295557201257</v>
      </c>
      <c r="D30" s="38">
        <f t="shared" si="1"/>
        <v>0.88471049595090123</v>
      </c>
      <c r="E30" s="38">
        <f t="shared" si="2"/>
        <v>-1.0189070384025609</v>
      </c>
    </row>
    <row r="31" spans="1:7" ht="15.75" customHeight="1">
      <c r="A31" s="37">
        <v>55</v>
      </c>
      <c r="B31" s="49">
        <f>HLOOKUP(Introduction!D$11,$B$2:$F$17,ROW()-ROW(B$23)+2,FALSE)</f>
        <v>-0.48239734581505644</v>
      </c>
      <c r="C31" s="38">
        <f t="shared" si="0"/>
        <v>-0.48239734581505644</v>
      </c>
      <c r="D31" s="38">
        <f t="shared" si="1"/>
        <v>0.84621205590260473</v>
      </c>
      <c r="E31" s="38">
        <f t="shared" si="2"/>
        <v>-0.85259765908806195</v>
      </c>
    </row>
    <row r="32" spans="1:7" ht="15.75" customHeight="1">
      <c r="A32" s="39">
        <v>60</v>
      </c>
      <c r="B32" s="40">
        <f>HLOOKUP(Introduction!D$11,$B$2:$F$17,ROW()-ROW(B$23)+2,FALSE)</f>
        <v>-0.37368650277193127</v>
      </c>
      <c r="C32" s="41">
        <f t="shared" si="0"/>
        <v>-0.37368650277193127</v>
      </c>
      <c r="D32" s="41">
        <f t="shared" si="1"/>
        <v>0.79306706133968263</v>
      </c>
      <c r="E32" s="41">
        <f t="shared" si="2"/>
        <v>-0.67175650587001401</v>
      </c>
    </row>
    <row r="33" ht="15.75" customHeight="1"/>
    <row r="34" ht="15.75" customHeight="1"/>
  </sheetData>
  <sheetProtection sheet="1" objects="1" scenarios="1"/>
  <mergeCells count="1">
    <mergeCell ref="D21:D22"/>
  </mergeCells>
  <dataValidations count="3">
    <dataValidation type="decimal" allowBlank="1" showInputMessage="1" showErrorMessage="1" error="Enter numeric values of the logits" sqref="G3:G17">
      <formula1>-2</formula1>
      <formula2>2</formula2>
    </dataValidation>
    <dataValidation type="decimal" allowBlank="1" showInputMessage="1" showErrorMessage="1" error="0.6&lt;β&lt;1.5" prompt="Le paramètre β peut varier entre 0,6 (mortalité relativement élevée chez les plus jeunes) et 1,5 (mortalité relativement élevée chez les personnes âgées) autour d'une valeur centrale de l'un." sqref="C20">
      <formula1>0.6</formula1>
      <formula2>1.5</formula2>
    </dataValidation>
    <dataValidation type="decimal" allowBlank="1" showInputMessage="1" showErrorMessage="1" error="-1.5&lt;α&lt;1" prompt="Le paramètre α peut varier de -1,5 (faible mortalité) jusqu’ à 1 (forte mortalité) autour d'une valeur centrale de zéro." sqref="C19">
      <formula1>-1.5</formula1>
      <formula2>1</formula2>
    </dataValidation>
  </dataValidations>
  <pageMargins left="0.70866141732283472" right="0.70866141732283472" top="0.74803149606299213" bottom="0.74803149606299213" header="0.31496062992125984" footer="0.31496062992125984"/>
  <pageSetup paperSize="9" orientation="portrait" r:id="rId1"/>
  <headerFooter>
    <oddHeader>&amp;L&amp;"+,Bold"&amp;14Tools for Demographic Estimation&amp;R&amp;"+,Bold"&amp;14Siblings - direct calculations</oddHeader>
    <oddFooter>&amp;L&amp;"+,Regular"&amp;12&amp;F&amp;R&amp;"+,Regular"&amp;12&amp;D  &amp;T</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W54"/>
  <sheetViews>
    <sheetView workbookViewId="0">
      <selection activeCell="F1" sqref="F1"/>
    </sheetView>
  </sheetViews>
  <sheetFormatPr defaultColWidth="9.140625" defaultRowHeight="12.75"/>
  <cols>
    <col min="3" max="3" width="11.140625" customWidth="1"/>
    <col min="4" max="4" width="11.28515625" customWidth="1"/>
    <col min="5" max="6" width="9.140625" customWidth="1"/>
    <col min="8" max="8" width="10.42578125" customWidth="1"/>
    <col min="9" max="9" width="3.5703125" style="53" customWidth="1"/>
    <col min="12" max="12" width="10.42578125" customWidth="1"/>
    <col min="13" max="13" width="11.7109375" customWidth="1"/>
    <col min="14" max="15" width="9.140625" customWidth="1"/>
    <col min="17" max="17" width="10.7109375" customWidth="1"/>
    <col min="18" max="18" width="4.42578125" customWidth="1"/>
    <col min="19" max="19" width="11.42578125" customWidth="1"/>
    <col min="20" max="20" width="9.5703125" customWidth="1"/>
    <col min="21" max="21" width="3.7109375" customWidth="1"/>
    <col min="22" max="22" width="11.140625" customWidth="1"/>
    <col min="23" max="23" width="10.140625" customWidth="1"/>
    <col min="24" max="25" width="10.5703125" bestFit="1" customWidth="1"/>
  </cols>
  <sheetData>
    <row r="1" spans="1:23" ht="12.75" customHeight="1">
      <c r="A1" s="46" t="str">
        <f>Introduction!D10</f>
        <v>Enquête sur la mortalité maternelle au Bangladesh</v>
      </c>
      <c r="H1" s="84">
        <f>YEAR(Introduction!D12)+YEARFRAC(DATE(YEAR(Introduction!D12),1,1),Introduction!D12,1)-Introduction!D13/2</f>
        <v>1999.7246575342465</v>
      </c>
      <c r="J1" s="46" t="str">
        <f>A1</f>
        <v>Enquête sur la mortalité maternelle au Bangladesh</v>
      </c>
      <c r="Q1" s="84">
        <f>H1</f>
        <v>1999.7246575342465</v>
      </c>
      <c r="S1" s="13" t="s">
        <v>53</v>
      </c>
    </row>
    <row r="2" spans="1:23" ht="15" customHeight="1">
      <c r="A2" s="7" t="s">
        <v>0</v>
      </c>
      <c r="B2" s="104" t="s">
        <v>43</v>
      </c>
      <c r="C2" s="104"/>
      <c r="D2" s="105"/>
      <c r="E2" s="105"/>
      <c r="F2" s="104"/>
      <c r="G2" s="105"/>
      <c r="H2" s="105"/>
      <c r="I2" s="64"/>
      <c r="J2" s="7" t="s">
        <v>0</v>
      </c>
      <c r="K2" s="106" t="s">
        <v>44</v>
      </c>
      <c r="L2" s="107"/>
      <c r="M2" s="107"/>
      <c r="N2" s="107"/>
      <c r="O2" s="107"/>
      <c r="P2" s="107"/>
      <c r="Q2" s="107"/>
      <c r="S2" s="102"/>
      <c r="T2" s="102"/>
      <c r="U2" s="22"/>
      <c r="V2" s="102"/>
      <c r="W2" s="102"/>
    </row>
    <row r="3" spans="1:23" ht="15" customHeight="1">
      <c r="A3" s="14" t="s">
        <v>3</v>
      </c>
      <c r="B3" s="65" t="s">
        <v>47</v>
      </c>
      <c r="C3" s="9" t="s">
        <v>50</v>
      </c>
      <c r="D3" s="96" t="s">
        <v>48</v>
      </c>
      <c r="E3" s="5" t="s">
        <v>1</v>
      </c>
      <c r="F3" s="5" t="s">
        <v>2</v>
      </c>
      <c r="G3" s="5" t="s">
        <v>15</v>
      </c>
      <c r="H3" s="5" t="s">
        <v>49</v>
      </c>
      <c r="I3" s="64"/>
      <c r="J3" s="14" t="s">
        <v>3</v>
      </c>
      <c r="K3" s="8" t="s">
        <v>47</v>
      </c>
      <c r="L3" s="9" t="s">
        <v>50</v>
      </c>
      <c r="M3" s="96" t="s">
        <v>48</v>
      </c>
      <c r="N3" s="5" t="s">
        <v>1</v>
      </c>
      <c r="O3" s="1" t="s">
        <v>2</v>
      </c>
      <c r="P3" s="5" t="s">
        <v>15</v>
      </c>
      <c r="Q3" s="5" t="s">
        <v>49</v>
      </c>
      <c r="S3" s="103" t="s">
        <v>41</v>
      </c>
      <c r="T3" s="103"/>
      <c r="U3" s="23"/>
      <c r="V3" s="103" t="s">
        <v>42</v>
      </c>
      <c r="W3" s="103"/>
    </row>
    <row r="4" spans="1:23" ht="17.100000000000001" customHeight="1">
      <c r="A4" s="10">
        <v>0</v>
      </c>
      <c r="B4" s="77">
        <v>98.37</v>
      </c>
      <c r="C4" s="77">
        <v>7514.28</v>
      </c>
      <c r="D4" s="61">
        <f>B4/C4</f>
        <v>1.3091074593973077E-2</v>
      </c>
      <c r="E4" s="3"/>
      <c r="F4" s="3"/>
      <c r="G4" s="3"/>
      <c r="H4" s="3"/>
      <c r="I4" s="63"/>
      <c r="J4" s="10">
        <v>0</v>
      </c>
      <c r="K4" s="77">
        <v>113.85</v>
      </c>
      <c r="L4" s="77">
        <v>7261.6</v>
      </c>
      <c r="M4" s="61">
        <f t="shared" ref="M4:M15" si="0">K4/L4</f>
        <v>1.5678362895229701E-2</v>
      </c>
      <c r="N4" s="3"/>
      <c r="O4" s="3"/>
      <c r="P4" s="3"/>
      <c r="Q4" s="3"/>
      <c r="S4" s="2"/>
      <c r="T4" s="2"/>
      <c r="U4" s="2"/>
      <c r="V4" s="2"/>
      <c r="W4" s="2"/>
    </row>
    <row r="5" spans="1:23" ht="14.45" customHeight="1">
      <c r="A5" s="10">
        <v>5</v>
      </c>
      <c r="B5" s="77">
        <v>34.598999999999997</v>
      </c>
      <c r="C5" s="77">
        <v>28640.58</v>
      </c>
      <c r="D5" s="61">
        <f>B5/C5</f>
        <v>1.2080411779370388E-3</v>
      </c>
      <c r="E5" s="3"/>
      <c r="F5" s="3"/>
      <c r="G5" s="3"/>
      <c r="H5" s="3"/>
      <c r="I5" s="63"/>
      <c r="J5" s="10">
        <v>5</v>
      </c>
      <c r="K5" s="77">
        <v>57.28</v>
      </c>
      <c r="L5" s="77">
        <v>26121.4</v>
      </c>
      <c r="M5" s="61">
        <f t="shared" si="0"/>
        <v>2.1928380561531922E-3</v>
      </c>
      <c r="N5" s="3"/>
      <c r="O5" s="3"/>
      <c r="P5" s="3"/>
      <c r="Q5" s="3"/>
      <c r="S5" s="2"/>
      <c r="T5" s="2"/>
      <c r="U5" s="2"/>
      <c r="V5" s="2"/>
      <c r="W5" s="2"/>
    </row>
    <row r="6" spans="1:23" ht="14.45" customHeight="1">
      <c r="A6" s="10">
        <v>10</v>
      </c>
      <c r="B6" s="77">
        <v>50.540999999999997</v>
      </c>
      <c r="C6" s="77">
        <v>63153.67</v>
      </c>
      <c r="D6" s="61">
        <f t="shared" ref="D6:D15" si="1">B6/C6</f>
        <v>8.0028603246652175E-4</v>
      </c>
      <c r="E6" s="3"/>
      <c r="F6" s="3"/>
      <c r="G6" s="3"/>
      <c r="H6" s="3"/>
      <c r="I6" s="63"/>
      <c r="J6" s="10">
        <v>10</v>
      </c>
      <c r="K6" s="77">
        <v>49.3</v>
      </c>
      <c r="L6" s="77">
        <v>58308.7</v>
      </c>
      <c r="M6" s="61">
        <f t="shared" si="0"/>
        <v>8.4549989967191855E-4</v>
      </c>
      <c r="N6" s="3"/>
      <c r="O6" s="3"/>
      <c r="P6" s="3"/>
      <c r="Q6" s="3"/>
      <c r="S6" s="2"/>
      <c r="T6" s="2"/>
      <c r="U6" s="2"/>
      <c r="V6" s="2"/>
      <c r="W6" s="2"/>
    </row>
    <row r="7" spans="1:23" ht="14.45" customHeight="1">
      <c r="A7" s="10">
        <v>15</v>
      </c>
      <c r="B7" s="77">
        <v>75.298000000000002</v>
      </c>
      <c r="C7" s="77">
        <v>90489.14</v>
      </c>
      <c r="D7" s="61">
        <f t="shared" si="1"/>
        <v>8.3212195408200362E-4</v>
      </c>
      <c r="E7" s="59">
        <f t="shared" ref="E7:E15" si="2">1-5*D7/(1+2.5*D7)</f>
        <v>0.99584802759806101</v>
      </c>
      <c r="F7" s="59">
        <f>PRODUCT(E$7:E7)</f>
        <v>0.99584802759806101</v>
      </c>
      <c r="G7" s="59">
        <f>-0.5*LN(F7/(1-F7))</f>
        <v>-2.7400055821500726</v>
      </c>
      <c r="H7" s="59">
        <f>$G$16+$G$17*Modèles!$E24</f>
        <v>-2.8206282674447301</v>
      </c>
      <c r="I7" s="63"/>
      <c r="J7" s="10">
        <v>15</v>
      </c>
      <c r="K7" s="77">
        <v>127.3</v>
      </c>
      <c r="L7" s="77">
        <v>83238.5</v>
      </c>
      <c r="M7" s="61">
        <f t="shared" si="0"/>
        <v>1.5293403893630951E-3</v>
      </c>
      <c r="N7" s="59">
        <f t="shared" ref="N7:N15" si="3">1-5*M7/(1+2.5*M7)</f>
        <v>0.99238242272467514</v>
      </c>
      <c r="O7" s="59">
        <f>PRODUCT(N$7:N7)</f>
        <v>0.99238242272467514</v>
      </c>
      <c r="P7" s="59">
        <f>-0.5*LN(O7/(1-O7))</f>
        <v>-2.4348250817509407</v>
      </c>
      <c r="Q7" s="59">
        <f>P$16+P$17*Modèles!$E24</f>
        <v>-2.4930962581019838</v>
      </c>
      <c r="S7" s="24">
        <f>(1-E7)^2/(E7*B7)</f>
        <v>2.2989652549617269E-7</v>
      </c>
      <c r="T7" s="24">
        <f>SQRT(SUM($S$7:S7)*F7^2)</f>
        <v>4.7748449251810808E-4</v>
      </c>
      <c r="U7" s="2"/>
      <c r="V7" s="24">
        <f t="shared" ref="V7:V15" si="4">(1-N7)^2/(N7*K7)</f>
        <v>4.5933154297803412E-7</v>
      </c>
      <c r="W7" s="24">
        <f>SQRT(SUM($V$7:V7)*O7^2)</f>
        <v>6.7257728907860659E-4</v>
      </c>
    </row>
    <row r="8" spans="1:23" ht="14.45" customHeight="1">
      <c r="A8" s="10">
        <v>20</v>
      </c>
      <c r="B8" s="77">
        <v>111.083</v>
      </c>
      <c r="C8" s="77">
        <v>105786.56</v>
      </c>
      <c r="D8" s="61">
        <f t="shared" si="1"/>
        <v>1.0500672297123566E-3</v>
      </c>
      <c r="E8" s="59">
        <f t="shared" si="2"/>
        <v>0.99476341077828123</v>
      </c>
      <c r="F8" s="59">
        <f>PRODUCT(E$7:E8)</f>
        <v>0.99063318055027116</v>
      </c>
      <c r="G8" s="59">
        <f t="shared" ref="G8:G15" si="5">-0.5*LN(F8/(1-F8))</f>
        <v>-2.3305853580513824</v>
      </c>
      <c r="H8" s="59">
        <f>$G$16+$G$17*Modèles!$E25</f>
        <v>-2.3099607231053247</v>
      </c>
      <c r="I8" s="63"/>
      <c r="J8" s="10">
        <v>20</v>
      </c>
      <c r="K8" s="77">
        <v>136.13</v>
      </c>
      <c r="L8" s="77">
        <v>97371</v>
      </c>
      <c r="M8" s="61">
        <f t="shared" si="0"/>
        <v>1.3980548623306734E-3</v>
      </c>
      <c r="N8" s="59">
        <f t="shared" si="3"/>
        <v>0.9930340725601664</v>
      </c>
      <c r="O8" s="59">
        <f>PRODUCT(N$7:N8)</f>
        <v>0.98546955877540876</v>
      </c>
      <c r="P8" s="59">
        <f t="shared" ref="P8:P15" si="6">-0.5*LN(O8/(1-O8))</f>
        <v>-2.1084361967113829</v>
      </c>
      <c r="Q8" s="59">
        <f>P$16+P$17*Modèles!$E25</f>
        <v>-2.089148478889626</v>
      </c>
      <c r="S8" s="24">
        <f t="shared" ref="S8:S14" si="7">(1-E8)^2/(E8*B8)</f>
        <v>2.481587609778399E-7</v>
      </c>
      <c r="T8" s="24">
        <f>SQRT(SUM($S$7:S8)*F8^2)</f>
        <v>6.8493905907494759E-4</v>
      </c>
      <c r="U8" s="2"/>
      <c r="V8" s="24">
        <f t="shared" si="4"/>
        <v>3.5895490986915129E-7</v>
      </c>
      <c r="W8" s="24">
        <f>SQRT(SUM($V$7:V8)*O8^2)</f>
        <v>8.9144775185976831E-4</v>
      </c>
    </row>
    <row r="9" spans="1:23" ht="14.45" customHeight="1">
      <c r="A9" s="10">
        <v>25</v>
      </c>
      <c r="B9" s="77">
        <v>155.87200000000001</v>
      </c>
      <c r="C9" s="77">
        <v>112438.25</v>
      </c>
      <c r="D9" s="61">
        <f t="shared" si="1"/>
        <v>1.3862898079612588E-3</v>
      </c>
      <c r="E9" s="59">
        <f t="shared" si="2"/>
        <v>0.99309249048529025</v>
      </c>
      <c r="F9" s="59">
        <f>PRODUCT(E$7:E9)</f>
        <v>0.98379037243003298</v>
      </c>
      <c r="G9" s="59">
        <f t="shared" si="5"/>
        <v>-2.0529037390253748</v>
      </c>
      <c r="H9" s="59">
        <f>$G$16+$G$17*Modèles!$E26</f>
        <v>-2.0247661686587444</v>
      </c>
      <c r="I9" s="63"/>
      <c r="J9" s="10">
        <v>25</v>
      </c>
      <c r="K9" s="77">
        <v>162.31</v>
      </c>
      <c r="L9" s="77">
        <v>104944.6</v>
      </c>
      <c r="M9" s="61">
        <f t="shared" si="0"/>
        <v>1.5466255529107738E-3</v>
      </c>
      <c r="N9" s="59">
        <f t="shared" si="3"/>
        <v>0.99229665770055397</v>
      </c>
      <c r="O9" s="59">
        <f>PRODUCT(N$7:N9)</f>
        <v>0.97787814943847773</v>
      </c>
      <c r="P9" s="59">
        <f t="shared" si="6"/>
        <v>-1.8944096187183179</v>
      </c>
      <c r="Q9" s="59">
        <f>P$16+P$17*Modèles!$E26</f>
        <v>-1.8635541402848879</v>
      </c>
      <c r="S9" s="24">
        <f t="shared" si="7"/>
        <v>3.08237290074733E-7</v>
      </c>
      <c r="T9" s="24">
        <f>SQRT(SUM($S$7:S9)*F9^2)</f>
        <v>8.7235781469673264E-4</v>
      </c>
      <c r="U9" s="2"/>
      <c r="V9" s="24">
        <f t="shared" si="4"/>
        <v>3.6844408282980204E-7</v>
      </c>
      <c r="W9" s="24">
        <f>SQRT(SUM($V$7:V9)*O9^2)</f>
        <v>1.0652727079525873E-3</v>
      </c>
    </row>
    <row r="10" spans="1:23" ht="14.45" customHeight="1">
      <c r="A10" s="10">
        <v>30</v>
      </c>
      <c r="B10" s="77">
        <v>142.66399999999999</v>
      </c>
      <c r="C10" s="77">
        <v>102205.06</v>
      </c>
      <c r="D10" s="61">
        <f t="shared" si="1"/>
        <v>1.395860439786445E-3</v>
      </c>
      <c r="E10" s="59">
        <f t="shared" si="2"/>
        <v>0.99304496843461676</v>
      </c>
      <c r="F10" s="59">
        <f>PRODUCT(E$7:E10)</f>
        <v>0.97694807933606198</v>
      </c>
      <c r="G10" s="59">
        <f t="shared" si="5"/>
        <v>-1.8733422078616397</v>
      </c>
      <c r="H10" s="59">
        <f>$G$16+$G$17*Modèles!$E27</f>
        <v>-1.8088426315822832</v>
      </c>
      <c r="I10" s="63"/>
      <c r="J10" s="10">
        <v>30</v>
      </c>
      <c r="K10" s="77">
        <v>168.24</v>
      </c>
      <c r="L10" s="77">
        <v>94556.6</v>
      </c>
      <c r="M10" s="61">
        <f t="shared" si="0"/>
        <v>1.7792517920483604E-3</v>
      </c>
      <c r="N10" s="59">
        <f t="shared" si="3"/>
        <v>0.99114313751089733</v>
      </c>
      <c r="O10" s="59">
        <f>PRODUCT(N$7:N10)</f>
        <v>0.96921721713780296</v>
      </c>
      <c r="P10" s="59">
        <f t="shared" si="6"/>
        <v>-1.7247666086804232</v>
      </c>
      <c r="Q10" s="59">
        <f>P$16+P$17*Modèles!$E27</f>
        <v>-1.6927544992101002</v>
      </c>
      <c r="S10" s="24">
        <f t="shared" si="7"/>
        <v>3.4144039402598461E-7</v>
      </c>
      <c r="T10" s="24">
        <f>SQRT(SUM($S$7:S10)*F10^2)</f>
        <v>1.0374677902673969E-3</v>
      </c>
      <c r="U10" s="2"/>
      <c r="V10" s="24">
        <f t="shared" si="4"/>
        <v>4.7042908606179828E-7</v>
      </c>
      <c r="W10" s="24">
        <f>SQRT(SUM($V$7:V10)*O10^2)</f>
        <v>1.2476802246498921E-3</v>
      </c>
    </row>
    <row r="11" spans="1:23" ht="14.45" customHeight="1">
      <c r="A11" s="10">
        <v>35</v>
      </c>
      <c r="B11" s="77">
        <v>189.46700000000001</v>
      </c>
      <c r="C11" s="77">
        <v>86026.23</v>
      </c>
      <c r="D11" s="61">
        <f t="shared" si="1"/>
        <v>2.2024329091255078E-3</v>
      </c>
      <c r="E11" s="59">
        <f t="shared" si="2"/>
        <v>0.98904813731137653</v>
      </c>
      <c r="F11" s="59">
        <f>PRODUCT(E$7:E11)</f>
        <v>0.96624867811725901</v>
      </c>
      <c r="G11" s="59">
        <f t="shared" si="5"/>
        <v>-1.6772008241992737</v>
      </c>
      <c r="H11" s="59">
        <f>$G$16+$G$17*Modèles!$E28</f>
        <v>-1.6261961271860206</v>
      </c>
      <c r="I11" s="63"/>
      <c r="J11" s="10">
        <v>35</v>
      </c>
      <c r="K11" s="77">
        <v>155.31</v>
      </c>
      <c r="L11" s="77">
        <v>78358.8</v>
      </c>
      <c r="M11" s="61">
        <f t="shared" si="0"/>
        <v>1.9820364783534202E-3</v>
      </c>
      <c r="N11" s="59">
        <f t="shared" si="3"/>
        <v>0.99013868134149741</v>
      </c>
      <c r="O11" s="59">
        <f>PRODUCT(N$7:N11)</f>
        <v>0.9596594573103</v>
      </c>
      <c r="P11" s="59">
        <f t="shared" si="6"/>
        <v>-1.5846107521163451</v>
      </c>
      <c r="Q11" s="59">
        <f>P$16+P$17*Modèles!$E28</f>
        <v>-1.5482776264391644</v>
      </c>
      <c r="S11" s="24">
        <f t="shared" si="7"/>
        <v>6.4006631529146331E-7</v>
      </c>
      <c r="T11" s="24">
        <f>SQRT(SUM($S$7:S11)*F11^2)</f>
        <v>1.2847108437450887E-3</v>
      </c>
      <c r="U11" s="2"/>
      <c r="V11" s="24">
        <f t="shared" si="4"/>
        <v>6.3237477614153767E-7</v>
      </c>
      <c r="W11" s="24">
        <f>SQRT(SUM($V$7:V11)*O11^2)</f>
        <v>1.45208063582378E-3</v>
      </c>
    </row>
    <row r="12" spans="1:23" ht="14.45" customHeight="1">
      <c r="A12" s="10">
        <v>40</v>
      </c>
      <c r="B12" s="77">
        <v>164.227</v>
      </c>
      <c r="C12" s="77">
        <v>57842.36</v>
      </c>
      <c r="D12" s="61">
        <f t="shared" si="1"/>
        <v>2.8392167954419565E-3</v>
      </c>
      <c r="E12" s="59">
        <f t="shared" si="2"/>
        <v>0.98590397023394227</v>
      </c>
      <c r="F12" s="59">
        <f>PRODUCT(E$7:E12)</f>
        <v>0.9526284079891042</v>
      </c>
      <c r="G12" s="59">
        <f t="shared" si="5"/>
        <v>-1.5006010925410729</v>
      </c>
      <c r="H12" s="59">
        <f>$G$16+$G$17*Modèles!$E29</f>
        <v>-1.4500454333941815</v>
      </c>
      <c r="I12" s="63"/>
      <c r="J12" s="10">
        <v>40</v>
      </c>
      <c r="K12" s="77">
        <v>153.29</v>
      </c>
      <c r="L12" s="77">
        <v>50491.1</v>
      </c>
      <c r="M12" s="61">
        <f t="shared" si="0"/>
        <v>3.0359805985609345E-3</v>
      </c>
      <c r="N12" s="59">
        <f t="shared" si="3"/>
        <v>0.98493444384765794</v>
      </c>
      <c r="O12" s="59">
        <f>PRODUCT(N$7:N12)</f>
        <v>0.94520165386906552</v>
      </c>
      <c r="P12" s="59">
        <f t="shared" si="6"/>
        <v>-1.4238691408303967</v>
      </c>
      <c r="Q12" s="59">
        <f>P$16+P$17*Modèles!$E29</f>
        <v>-1.4089390638994681</v>
      </c>
      <c r="S12" s="24">
        <f t="shared" si="7"/>
        <v>1.2271974417355833E-6</v>
      </c>
      <c r="T12" s="24">
        <f>SQRT(SUM($S$7:S12)*F12^2)</f>
        <v>1.6486243286451729E-3</v>
      </c>
      <c r="U12" s="2"/>
      <c r="V12" s="24">
        <f t="shared" si="4"/>
        <v>1.5033122191214512E-6</v>
      </c>
      <c r="W12" s="24">
        <f>SQRT(SUM($V$7:V12)*O12^2)</f>
        <v>1.840802150186195E-3</v>
      </c>
    </row>
    <row r="13" spans="1:23" ht="14.45" customHeight="1">
      <c r="A13" s="10">
        <v>45</v>
      </c>
      <c r="B13" s="77">
        <v>199.102</v>
      </c>
      <c r="C13" s="77">
        <v>32968</v>
      </c>
      <c r="D13" s="61">
        <f t="shared" si="1"/>
        <v>6.0392501819946619E-3</v>
      </c>
      <c r="E13" s="59">
        <f t="shared" si="2"/>
        <v>0.97025287491646306</v>
      </c>
      <c r="F13" s="59">
        <f>PRODUCT(E$7:E13)</f>
        <v>0.92429045157852163</v>
      </c>
      <c r="G13" s="59">
        <f t="shared" si="5"/>
        <v>-1.2510610381333738</v>
      </c>
      <c r="H13" s="59">
        <f>$G$16+$G$17*Modèles!$E30</f>
        <v>-1.2754200223286383</v>
      </c>
      <c r="I13" s="63"/>
      <c r="J13" s="10">
        <v>45</v>
      </c>
      <c r="K13" s="77">
        <v>106.19</v>
      </c>
      <c r="L13" s="77">
        <v>27479</v>
      </c>
      <c r="M13" s="61">
        <f t="shared" si="0"/>
        <v>3.8644055460533497E-3</v>
      </c>
      <c r="N13" s="59">
        <f t="shared" si="3"/>
        <v>0.98086285647863225</v>
      </c>
      <c r="O13" s="59">
        <f>PRODUCT(N$7:N13)</f>
        <v>0.92711319416233906</v>
      </c>
      <c r="P13" s="59">
        <f t="shared" si="6"/>
        <v>-1.2715840167042445</v>
      </c>
      <c r="Q13" s="59">
        <f>P$16+P$17*Modèles!$E30</f>
        <v>-1.270807029122869</v>
      </c>
      <c r="S13" s="24">
        <f t="shared" si="7"/>
        <v>4.5806745658274207E-6</v>
      </c>
      <c r="T13" s="24">
        <f>SQRT(SUM($S$7:S13)*F13^2)</f>
        <v>2.5440112517646943E-3</v>
      </c>
      <c r="U13" s="2"/>
      <c r="V13" s="24">
        <f t="shared" si="4"/>
        <v>3.5161089056577076E-6</v>
      </c>
      <c r="W13" s="24">
        <f>SQRT(SUM($V$7:V13)*O13^2)</f>
        <v>2.5064579401689788E-3</v>
      </c>
    </row>
    <row r="14" spans="1:23" ht="14.45" customHeight="1">
      <c r="A14" s="10">
        <v>50</v>
      </c>
      <c r="B14" s="77">
        <v>156.541</v>
      </c>
      <c r="C14" s="77">
        <v>14360.9</v>
      </c>
      <c r="D14" s="61">
        <f t="shared" si="1"/>
        <v>1.0900500665000104E-2</v>
      </c>
      <c r="E14" s="59">
        <f t="shared" si="2"/>
        <v>0.94694335661621842</v>
      </c>
      <c r="F14" s="59">
        <f>PRODUCT(E$7:E14)</f>
        <v>0.87525070270608563</v>
      </c>
      <c r="G14" s="59">
        <f t="shared" si="5"/>
        <v>-0.97410213049824179</v>
      </c>
      <c r="H14" s="59">
        <f>$G$16+$G$17*Modèles!$E31</f>
        <v>-1.0839425987605087</v>
      </c>
      <c r="I14" s="63"/>
      <c r="J14" s="10">
        <v>50</v>
      </c>
      <c r="K14" s="77">
        <v>98.18</v>
      </c>
      <c r="L14" s="77">
        <v>11892.5</v>
      </c>
      <c r="M14" s="61">
        <f t="shared" si="0"/>
        <v>8.2556232919907512E-3</v>
      </c>
      <c r="N14" s="59">
        <f t="shared" si="3"/>
        <v>0.95955659728372589</v>
      </c>
      <c r="O14" s="59">
        <f>PRODUCT(N$7:N14)</f>
        <v>0.88961758188726037</v>
      </c>
      <c r="P14" s="59">
        <f t="shared" si="6"/>
        <v>-1.0434204110889715</v>
      </c>
      <c r="Q14" s="59">
        <f>P$16+P$17*Modèles!$E31</f>
        <v>-1.1193447306529221</v>
      </c>
      <c r="S14" s="24">
        <f t="shared" si="7"/>
        <v>1.899010808466831E-5</v>
      </c>
      <c r="T14" s="24">
        <f>SQRT(SUM($S$7:S14)*F14^2)</f>
        <v>4.5112173194635707E-3</v>
      </c>
      <c r="U14" s="2"/>
      <c r="V14" s="24">
        <f t="shared" si="4"/>
        <v>1.7362079975733793E-5</v>
      </c>
      <c r="W14" s="24">
        <f>SQRT(SUM($V$7:V14)*O14^2)</f>
        <v>4.4187257380123787E-3</v>
      </c>
    </row>
    <row r="15" spans="1:23" ht="14.45" customHeight="1">
      <c r="A15" s="11">
        <v>55</v>
      </c>
      <c r="B15" s="77">
        <v>84.036000000000001</v>
      </c>
      <c r="C15" s="77">
        <v>4631.5200000000004</v>
      </c>
      <c r="D15" s="61">
        <f t="shared" si="1"/>
        <v>1.814436729194735E-2</v>
      </c>
      <c r="E15" s="60">
        <f t="shared" si="2"/>
        <v>0.91321481903746893</v>
      </c>
      <c r="F15" s="60">
        <f>PRODUCT(E$7:E15)</f>
        <v>0.79929191208415551</v>
      </c>
      <c r="G15" s="60">
        <f t="shared" si="5"/>
        <v>-0.69093733615369357</v>
      </c>
      <c r="H15" s="60">
        <f>$G$16+$G$17*Modèles!$E32</f>
        <v>-0.8757342689837504</v>
      </c>
      <c r="I15" s="63"/>
      <c r="J15" s="11">
        <v>55</v>
      </c>
      <c r="K15" s="77">
        <v>31.91</v>
      </c>
      <c r="L15" s="77">
        <v>3829.2</v>
      </c>
      <c r="M15" s="61">
        <f t="shared" si="0"/>
        <v>8.3333333333333332E-3</v>
      </c>
      <c r="N15" s="60">
        <f t="shared" si="3"/>
        <v>0.95918367346938771</v>
      </c>
      <c r="O15" s="60">
        <f>PRODUCT(N$7:N15)</f>
        <v>0.85330666017757628</v>
      </c>
      <c r="P15" s="60">
        <f t="shared" si="6"/>
        <v>-0.88038735328885964</v>
      </c>
      <c r="Q15" s="60">
        <f>P$16+P$17*Modèles!$E32</f>
        <v>-0.95464796588077738</v>
      </c>
      <c r="S15" s="25">
        <f>(1-E15)^2/(E15*B15)</f>
        <v>9.8141529960364731E-5</v>
      </c>
      <c r="T15" s="25">
        <f>SQRT(SUM($S$7:S15)*F15^2)</f>
        <v>8.9258867638689048E-3</v>
      </c>
      <c r="U15" s="6"/>
      <c r="V15" s="25">
        <f t="shared" si="4"/>
        <v>5.4430114658397406E-5</v>
      </c>
      <c r="W15" s="25">
        <f>SQRT(SUM($V$7:V15)*O15^2)</f>
        <v>7.5892093751496149E-3</v>
      </c>
    </row>
    <row r="16" spans="1:23" ht="14.45" customHeight="1">
      <c r="A16" s="20" t="s">
        <v>8</v>
      </c>
      <c r="B16" s="2"/>
      <c r="D16" s="78">
        <f>1-F13</f>
        <v>7.5709548421478368E-2</v>
      </c>
      <c r="E16" s="79">
        <f>D16-1.96*T13</f>
        <v>7.0723286368019569E-2</v>
      </c>
      <c r="F16" s="80">
        <f>D16+1.96*T13</f>
        <v>8.0695810474937166E-2</v>
      </c>
      <c r="G16" s="73">
        <f>INTERCEPT(G7:G14,Modèles!$E$24:$E$31)</f>
        <v>-0.10231905007489317</v>
      </c>
      <c r="H16" s="78">
        <f>1-1/(1+EXP(2*H13))</f>
        <v>7.2370070680545573E-2</v>
      </c>
      <c r="J16" s="20" t="s">
        <v>8</v>
      </c>
      <c r="K16" s="2"/>
      <c r="L16" s="2"/>
      <c r="M16" s="78">
        <f>1-O13</f>
        <v>7.288680583766094E-2</v>
      </c>
      <c r="N16" s="79">
        <f>M16-1.96*W13</f>
        <v>6.7974148274929744E-2</v>
      </c>
      <c r="O16" s="80">
        <f>M16+1.96*W13</f>
        <v>7.7799463400392135E-2</v>
      </c>
      <c r="P16" s="73">
        <f>INTERCEPT(P7:P14,Modèles!$E$24:$E$31)</f>
        <v>-0.3428617586891396</v>
      </c>
      <c r="Q16" s="78">
        <f>1-1/(1+EXP(2*Q13))</f>
        <v>7.2991884373531879E-2</v>
      </c>
      <c r="S16" s="2"/>
      <c r="T16" s="2"/>
      <c r="U16" s="2"/>
      <c r="V16" s="2"/>
      <c r="W16" s="2"/>
    </row>
    <row r="17" spans="1:23" ht="17.100000000000001" customHeight="1">
      <c r="A17" s="21" t="s">
        <v>9</v>
      </c>
      <c r="B17" s="4"/>
      <c r="C17" s="4"/>
      <c r="D17" s="81">
        <f>1-F15</f>
        <v>0.20070808791584449</v>
      </c>
      <c r="E17" s="82">
        <f>D17-1.96*T15</f>
        <v>0.18321334985866145</v>
      </c>
      <c r="F17" s="83">
        <f>D17+1.96*T15</f>
        <v>0.21820282597302754</v>
      </c>
      <c r="G17" s="74">
        <f>SLOPE(G7:G14,Modèles!$E$24:$E$31)</f>
        <v>1.1513326810392133</v>
      </c>
      <c r="H17" s="81">
        <f>1-1/(1+EXP(2*H15))</f>
        <v>0.14786206819443926</v>
      </c>
      <c r="J17" s="21" t="s">
        <v>9</v>
      </c>
      <c r="K17" s="4"/>
      <c r="L17" s="4"/>
      <c r="M17" s="81">
        <f>1-O15</f>
        <v>0.14669333982242372</v>
      </c>
      <c r="N17" s="82">
        <f>M17-1.96*W15</f>
        <v>0.13181848944713048</v>
      </c>
      <c r="O17" s="83">
        <f>M17+1.96*W15</f>
        <v>0.16156819019771695</v>
      </c>
      <c r="P17" s="74">
        <f>SLOPE(P7:P14,Modèles!$E$24:$E$31)</f>
        <v>0.91072613639862454</v>
      </c>
      <c r="Q17" s="81">
        <f>1-1/(1+EXP(2*Q15))</f>
        <v>0.12905997121042034</v>
      </c>
      <c r="R17" s="50"/>
      <c r="S17" s="4"/>
      <c r="T17" s="4"/>
      <c r="U17" s="4"/>
      <c r="V17" s="4"/>
      <c r="W17" s="4"/>
    </row>
    <row r="18" spans="1:23" ht="6" customHeight="1">
      <c r="A18" s="52"/>
      <c r="B18" s="53"/>
      <c r="C18" s="53"/>
      <c r="D18" s="54"/>
      <c r="E18" s="55"/>
      <c r="F18" s="56"/>
      <c r="G18" s="54"/>
      <c r="H18" s="54"/>
      <c r="J18" s="52"/>
      <c r="K18" s="53"/>
      <c r="L18" s="53"/>
      <c r="M18" s="54"/>
      <c r="N18" s="55"/>
      <c r="O18" s="56"/>
      <c r="P18" s="54"/>
      <c r="Q18" s="54"/>
      <c r="R18" s="50"/>
      <c r="S18" s="53"/>
      <c r="T18" s="53"/>
      <c r="U18" s="53"/>
      <c r="V18" s="53"/>
      <c r="W18" s="53"/>
    </row>
    <row r="19" spans="1:23" s="53" customFormat="1" ht="12.75" customHeight="1">
      <c r="A19" s="13"/>
      <c r="B19"/>
      <c r="C19"/>
      <c r="D19"/>
      <c r="E19"/>
      <c r="F19"/>
      <c r="G19"/>
      <c r="H19" s="84">
        <f>YEAR(Introduction!D12)+YEARFRAC(DATE(YEAR(Introduction!D12),1,1),Introduction!D12,1)-Introduction!D13-Introduction!D14/2</f>
        <v>1996.2246575342465</v>
      </c>
      <c r="J19" s="13"/>
      <c r="K19"/>
      <c r="L19"/>
      <c r="M19"/>
      <c r="N19"/>
      <c r="O19"/>
      <c r="P19"/>
      <c r="Q19" s="84">
        <f>H19</f>
        <v>1996.2246575342465</v>
      </c>
      <c r="R19" s="57"/>
      <c r="S19"/>
      <c r="T19"/>
      <c r="U19"/>
      <c r="V19"/>
      <c r="W19"/>
    </row>
    <row r="20" spans="1:23" ht="15" customHeight="1">
      <c r="A20" s="7" t="s">
        <v>0</v>
      </c>
      <c r="B20" s="106" t="s">
        <v>45</v>
      </c>
      <c r="C20" s="106"/>
      <c r="D20" s="108"/>
      <c r="E20" s="108"/>
      <c r="F20" s="106"/>
      <c r="G20" s="108"/>
      <c r="H20" s="108"/>
      <c r="I20" s="64"/>
      <c r="J20" s="7" t="s">
        <v>0</v>
      </c>
      <c r="K20" s="106" t="s">
        <v>46</v>
      </c>
      <c r="L20" s="107"/>
      <c r="M20" s="107"/>
      <c r="N20" s="107"/>
      <c r="O20" s="107"/>
      <c r="P20" s="107"/>
      <c r="Q20" s="107"/>
      <c r="S20" s="102"/>
      <c r="T20" s="102"/>
      <c r="U20" s="22"/>
      <c r="V20" s="102"/>
      <c r="W20" s="102"/>
    </row>
    <row r="21" spans="1:23" ht="18">
      <c r="A21" s="14" t="s">
        <v>3</v>
      </c>
      <c r="B21" s="65" t="s">
        <v>47</v>
      </c>
      <c r="C21" s="9" t="s">
        <v>50</v>
      </c>
      <c r="D21" s="96" t="s">
        <v>48</v>
      </c>
      <c r="E21" s="5" t="s">
        <v>1</v>
      </c>
      <c r="F21" s="1" t="s">
        <v>2</v>
      </c>
      <c r="G21" s="5" t="s">
        <v>15</v>
      </c>
      <c r="H21" s="5" t="s">
        <v>49</v>
      </c>
      <c r="I21" s="64"/>
      <c r="J21" s="14" t="s">
        <v>3</v>
      </c>
      <c r="K21" s="12" t="s">
        <v>47</v>
      </c>
      <c r="L21" s="9" t="s">
        <v>50</v>
      </c>
      <c r="M21" s="96" t="s">
        <v>48</v>
      </c>
      <c r="N21" s="5" t="s">
        <v>1</v>
      </c>
      <c r="O21" s="1" t="s">
        <v>2</v>
      </c>
      <c r="P21" s="5" t="s">
        <v>15</v>
      </c>
      <c r="Q21" s="5" t="s">
        <v>49</v>
      </c>
      <c r="S21" s="103" t="s">
        <v>41</v>
      </c>
      <c r="T21" s="103"/>
      <c r="U21" s="23"/>
      <c r="V21" s="103" t="s">
        <v>42</v>
      </c>
      <c r="W21" s="103"/>
    </row>
    <row r="22" spans="1:23" ht="17.100000000000001" customHeight="1">
      <c r="A22" s="10">
        <v>0</v>
      </c>
      <c r="B22" s="77">
        <v>475.22500000000002</v>
      </c>
      <c r="C22" s="77">
        <v>28198.99</v>
      </c>
      <c r="D22" s="61">
        <f t="shared" ref="D22:D31" si="8">B22/C22</f>
        <v>1.6852553938988594E-2</v>
      </c>
      <c r="E22" s="3"/>
      <c r="F22" s="3"/>
      <c r="G22" s="3"/>
      <c r="H22" s="3"/>
      <c r="I22" s="63"/>
      <c r="J22" s="10">
        <v>0</v>
      </c>
      <c r="K22" s="77">
        <v>648.29999999999995</v>
      </c>
      <c r="L22" s="77">
        <v>26464.7</v>
      </c>
      <c r="M22" s="61">
        <f>K22/L22</f>
        <v>2.4496782506508667E-2</v>
      </c>
      <c r="N22" s="3"/>
      <c r="O22" s="3"/>
      <c r="P22" s="3"/>
      <c r="Q22" s="3"/>
      <c r="S22" s="2"/>
      <c r="T22" s="2"/>
      <c r="U22" s="2"/>
      <c r="V22" s="2"/>
      <c r="W22" s="2"/>
    </row>
    <row r="23" spans="1:23" ht="14.45" customHeight="1">
      <c r="A23" s="10">
        <v>5</v>
      </c>
      <c r="B23" s="77">
        <v>174.79</v>
      </c>
      <c r="C23" s="77">
        <v>72851.350000000006</v>
      </c>
      <c r="D23" s="61">
        <f t="shared" si="8"/>
        <v>2.399269196795941E-3</v>
      </c>
      <c r="E23" s="3"/>
      <c r="F23" s="3"/>
      <c r="G23" s="3"/>
      <c r="H23" s="3"/>
      <c r="I23" s="63"/>
      <c r="J23" s="10">
        <v>5</v>
      </c>
      <c r="K23" s="77">
        <v>225.4</v>
      </c>
      <c r="L23" s="77">
        <v>66718.3</v>
      </c>
      <c r="M23" s="61">
        <f t="shared" ref="M23:M33" si="9">K23/L23</f>
        <v>3.3783834420241521E-3</v>
      </c>
      <c r="N23" s="3"/>
      <c r="O23" s="3"/>
      <c r="P23" s="3"/>
      <c r="Q23" s="3"/>
      <c r="S23" s="2"/>
      <c r="T23" s="2"/>
      <c r="U23" s="2"/>
      <c r="V23" s="2"/>
      <c r="W23" s="2"/>
    </row>
    <row r="24" spans="1:23" ht="14.45" customHeight="1">
      <c r="A24" s="10">
        <v>10</v>
      </c>
      <c r="B24" s="77">
        <v>153.91300000000001</v>
      </c>
      <c r="C24" s="77">
        <v>113198.38</v>
      </c>
      <c r="D24" s="61">
        <f t="shared" si="8"/>
        <v>1.3596749352773423E-3</v>
      </c>
      <c r="E24" s="3"/>
      <c r="F24" s="3"/>
      <c r="G24" s="3"/>
      <c r="H24" s="3"/>
      <c r="I24" s="63"/>
      <c r="J24" s="10">
        <v>10</v>
      </c>
      <c r="K24" s="77">
        <v>148.80000000000001</v>
      </c>
      <c r="L24" s="77">
        <v>105074.5</v>
      </c>
      <c r="M24" s="61">
        <f t="shared" si="9"/>
        <v>1.4161380734621627E-3</v>
      </c>
      <c r="N24" s="3"/>
      <c r="O24" s="3"/>
      <c r="P24" s="3"/>
      <c r="Q24" s="3"/>
      <c r="S24" s="6"/>
      <c r="T24" s="6"/>
      <c r="U24" s="6"/>
      <c r="V24" s="6"/>
      <c r="W24" s="6"/>
    </row>
    <row r="25" spans="1:23" ht="14.45" customHeight="1">
      <c r="A25" s="10">
        <v>15</v>
      </c>
      <c r="B25" s="77">
        <v>166.39699999999999</v>
      </c>
      <c r="C25" s="77">
        <v>140201.89000000001</v>
      </c>
      <c r="D25" s="61">
        <f t="shared" si="8"/>
        <v>1.1868384941173045E-3</v>
      </c>
      <c r="E25" s="59">
        <f t="shared" ref="E25:E33" si="10">1-5*D25/(1+2.5*D25)</f>
        <v>0.99408336276148945</v>
      </c>
      <c r="F25" s="59">
        <f>PRODUCT(E$25:E25)</f>
        <v>0.99408336276148945</v>
      </c>
      <c r="G25" s="59">
        <f>-0.5*LN(F25/(1-F25))</f>
        <v>-2.5620264078145869</v>
      </c>
      <c r="H25" s="59">
        <f>G$34+G$35*Modèles!$E24</f>
        <v>-2.6737338466353044</v>
      </c>
      <c r="I25" s="63"/>
      <c r="J25" s="10">
        <v>15</v>
      </c>
      <c r="K25" s="77">
        <v>223</v>
      </c>
      <c r="L25" s="77">
        <v>128602.1</v>
      </c>
      <c r="M25" s="61">
        <f t="shared" si="9"/>
        <v>1.7340307817679493E-3</v>
      </c>
      <c r="N25" s="59">
        <f t="shared" ref="N25:N33" si="11">1-5*M25/(1+2.5*M25)</f>
        <v>0.99136726964159072</v>
      </c>
      <c r="O25" s="59">
        <f>PRODUCT(N$25:N25)</f>
        <v>0.99136726964159072</v>
      </c>
      <c r="P25" s="59">
        <f>-0.5*LN(O25/(1-O25))</f>
        <v>-2.3717621179086437</v>
      </c>
      <c r="Q25" s="59">
        <f>P$34+P$35*Modèles!$E24</f>
        <v>-2.401890876179503</v>
      </c>
      <c r="S25" s="25">
        <f>(1-E25)^2/(E25*B25)</f>
        <v>2.1163212256481564E-7</v>
      </c>
      <c r="T25" s="25">
        <f>SQRT(SUM($S$25:S25)*F25^2)</f>
        <v>4.5731305480011366E-4</v>
      </c>
      <c r="U25" s="6"/>
      <c r="V25" s="25">
        <f>(1-N25)^2/(N25*K25)</f>
        <v>3.3709857184173616E-7</v>
      </c>
      <c r="W25" s="25">
        <f>SQRT(SUM($V$25:V25)*O25^2)</f>
        <v>5.7558972509691995E-4</v>
      </c>
    </row>
    <row r="26" spans="1:23" ht="14.45" customHeight="1">
      <c r="A26" s="10">
        <v>20</v>
      </c>
      <c r="B26" s="77">
        <v>215.2</v>
      </c>
      <c r="C26" s="77">
        <v>153970.01</v>
      </c>
      <c r="D26" s="61">
        <f t="shared" si="8"/>
        <v>1.3976747809524724E-3</v>
      </c>
      <c r="E26" s="59">
        <f t="shared" si="10"/>
        <v>0.99303595975380177</v>
      </c>
      <c r="F26" s="59">
        <f>PRODUCT(E$25:E26)</f>
        <v>0.98716052621514239</v>
      </c>
      <c r="G26" s="59">
        <f t="shared" ref="G26:G33" si="12">-0.5*LN(F26/(1-F26))</f>
        <v>-2.1711541759084239</v>
      </c>
      <c r="H26" s="59">
        <f>G$34+G$35*Modèles!$E25</f>
        <v>-2.1551581891295646</v>
      </c>
      <c r="I26" s="63"/>
      <c r="J26" s="10">
        <v>20</v>
      </c>
      <c r="K26" s="77">
        <v>300.7</v>
      </c>
      <c r="L26" s="77">
        <v>143837.5</v>
      </c>
      <c r="M26" s="61">
        <f t="shared" si="9"/>
        <v>2.0905535760841224E-3</v>
      </c>
      <c r="N26" s="59">
        <f t="shared" si="11"/>
        <v>0.98960157826394424</v>
      </c>
      <c r="O26" s="59">
        <f>PRODUCT(N$25:N26)</f>
        <v>0.98105861467653532</v>
      </c>
      <c r="P26" s="59">
        <f t="shared" ref="P26:P33" si="13">-0.5*LN(O26/(1-O26))</f>
        <v>-1.9736414899420101</v>
      </c>
      <c r="Q26" s="59">
        <f>P$34+P$35*Modèles!$E25</f>
        <v>-1.9625601520043638</v>
      </c>
      <c r="S26" s="25">
        <f t="shared" ref="S26:S32" si="14">(1-E26)^2/(E26*B26)</f>
        <v>2.2694222171104409E-7</v>
      </c>
      <c r="T26" s="25">
        <f>SQRT(SUM($S$25:S26)*F26^2)</f>
        <v>6.5374652318751791E-4</v>
      </c>
      <c r="U26" s="6"/>
      <c r="V26" s="25">
        <f t="shared" ref="V26:V33" si="15">(1-N26)^2/(N26*K26)</f>
        <v>3.6336328865927487E-7</v>
      </c>
      <c r="W26" s="25">
        <f>SQRT(SUM($V$25:V26)*O26^2)</f>
        <v>8.2108326828148764E-4</v>
      </c>
    </row>
    <row r="27" spans="1:23" ht="14.45" customHeight="1">
      <c r="A27" s="10">
        <v>25</v>
      </c>
      <c r="B27" s="77">
        <v>221.49299999999999</v>
      </c>
      <c r="C27" s="77">
        <v>146187.70000000001</v>
      </c>
      <c r="D27" s="61">
        <f t="shared" si="8"/>
        <v>1.515127469684522E-3</v>
      </c>
      <c r="E27" s="59">
        <f t="shared" si="10"/>
        <v>0.99245294951035723</v>
      </c>
      <c r="F27" s="59">
        <f>PRODUCT(E$25:E27)</f>
        <v>0.97971037588241439</v>
      </c>
      <c r="G27" s="59">
        <f t="shared" si="12"/>
        <v>-1.9385736825032835</v>
      </c>
      <c r="H27" s="59">
        <f>G$34+G$35*Modèles!$E26</f>
        <v>-1.8655471589621635</v>
      </c>
      <c r="I27" s="63"/>
      <c r="J27" s="10">
        <v>25</v>
      </c>
      <c r="K27" s="77">
        <v>325.7</v>
      </c>
      <c r="L27" s="77">
        <v>136166.79999999999</v>
      </c>
      <c r="M27" s="61">
        <f t="shared" si="9"/>
        <v>2.3919193224780197E-3</v>
      </c>
      <c r="N27" s="59">
        <f t="shared" si="11"/>
        <v>0.98811149425413225</v>
      </c>
      <c r="O27" s="59">
        <f>PRODUCT(N$25:N27)</f>
        <v>0.9693952936989203</v>
      </c>
      <c r="P27" s="59">
        <f t="shared" si="13"/>
        <v>-1.7277593353593004</v>
      </c>
      <c r="Q27" s="59">
        <f>P$34+P$35*Modèles!$E26</f>
        <v>-1.7172053580201441</v>
      </c>
      <c r="S27" s="25">
        <f t="shared" si="14"/>
        <v>2.5911024121631567E-7</v>
      </c>
      <c r="T27" s="25">
        <f>SQRT(SUM($S$25:S27)*F27^2)</f>
        <v>8.1832773661681441E-4</v>
      </c>
      <c r="U27" s="6"/>
      <c r="V27" s="25">
        <f t="shared" si="15"/>
        <v>4.3916814813861042E-7</v>
      </c>
      <c r="W27" s="25">
        <f>SQRT(SUM($V$25:V27)*O27^2)</f>
        <v>1.0348629655417064E-3</v>
      </c>
    </row>
    <row r="28" spans="1:23" ht="14.45" customHeight="1">
      <c r="A28" s="10">
        <v>30</v>
      </c>
      <c r="B28" s="77">
        <v>266.08499999999998</v>
      </c>
      <c r="C28" s="77">
        <v>126945.11</v>
      </c>
      <c r="D28" s="61">
        <f t="shared" si="8"/>
        <v>2.0960634088229156E-3</v>
      </c>
      <c r="E28" s="59">
        <f t="shared" si="10"/>
        <v>0.98957431519695438</v>
      </c>
      <c r="F28" s="59">
        <f>PRODUCT(E$25:E28)</f>
        <v>0.969496224305191</v>
      </c>
      <c r="G28" s="59">
        <f t="shared" si="12"/>
        <v>-1.7294630554873742</v>
      </c>
      <c r="H28" s="59">
        <f>G$34+G$35*Modèles!$E27</f>
        <v>-1.6462798656877538</v>
      </c>
      <c r="I28" s="63"/>
      <c r="J28" s="10">
        <v>30</v>
      </c>
      <c r="K28" s="77">
        <v>286.8</v>
      </c>
      <c r="L28" s="77">
        <v>116406.7</v>
      </c>
      <c r="M28" s="61">
        <f t="shared" si="9"/>
        <v>2.4637757105046361E-3</v>
      </c>
      <c r="N28" s="59">
        <f t="shared" si="11"/>
        <v>0.98775653433079724</v>
      </c>
      <c r="O28" s="59">
        <f>PRODUCT(N$25:N28)</f>
        <v>0.95752653570063084</v>
      </c>
      <c r="P28" s="59">
        <f t="shared" si="13"/>
        <v>-1.5577369613461254</v>
      </c>
      <c r="Q28" s="59">
        <f>P$34+P$35*Modèles!$E27</f>
        <v>-1.5314448863360239</v>
      </c>
      <c r="S28" s="25">
        <f t="shared" si="14"/>
        <v>4.1280065194246875E-7</v>
      </c>
      <c r="T28" s="25">
        <f>SQRT(SUM($S$25:S28)*F28^2)</f>
        <v>1.0216508879829971E-3</v>
      </c>
      <c r="U28" s="6"/>
      <c r="V28" s="25">
        <f t="shared" si="15"/>
        <v>5.2915106829747088E-7</v>
      </c>
      <c r="W28" s="25">
        <f>SQRT(SUM($V$25:V28)*O28^2)</f>
        <v>1.2369453193045716E-3</v>
      </c>
    </row>
    <row r="29" spans="1:23" ht="14.45" customHeight="1">
      <c r="A29" s="10">
        <v>35</v>
      </c>
      <c r="B29" s="77">
        <v>252.804</v>
      </c>
      <c r="C29" s="77">
        <v>92735.73</v>
      </c>
      <c r="D29" s="61">
        <f t="shared" si="8"/>
        <v>2.7260690135290895E-3</v>
      </c>
      <c r="E29" s="59">
        <f t="shared" si="10"/>
        <v>0.98646191928818239</v>
      </c>
      <c r="F29" s="59">
        <f>PRODUCT(E$25:E29)</f>
        <v>0.95637110617074494</v>
      </c>
      <c r="G29" s="59">
        <f t="shared" si="12"/>
        <v>-1.543713195363569</v>
      </c>
      <c r="H29" s="59">
        <f>G$34+G$35*Modèles!$E28</f>
        <v>-1.4608049277201551</v>
      </c>
      <c r="I29" s="63"/>
      <c r="J29" s="10">
        <v>35</v>
      </c>
      <c r="K29" s="77">
        <v>262.2</v>
      </c>
      <c r="L29" s="77">
        <v>82019.3</v>
      </c>
      <c r="M29" s="61">
        <f t="shared" si="9"/>
        <v>3.1968085560349817E-3</v>
      </c>
      <c r="N29" s="59">
        <f t="shared" si="11"/>
        <v>0.98414268918703163</v>
      </c>
      <c r="O29" s="59">
        <f>PRODUCT(N$25:N29)</f>
        <v>0.94234273981236105</v>
      </c>
      <c r="P29" s="59">
        <f t="shared" si="13"/>
        <v>-1.3969264383494568</v>
      </c>
      <c r="Q29" s="59">
        <f>P$34+P$35*Modèles!$E28</f>
        <v>-1.3743128697551221</v>
      </c>
      <c r="S29" s="25">
        <f t="shared" si="14"/>
        <v>7.3493669483803858E-7</v>
      </c>
      <c r="T29" s="25">
        <f>SQRT(SUM($S$25:S29)*F29^2)</f>
        <v>1.2991948358891392E-3</v>
      </c>
      <c r="U29" s="6"/>
      <c r="V29" s="25">
        <f t="shared" si="15"/>
        <v>9.7446965437752087E-7</v>
      </c>
      <c r="W29" s="25">
        <f>SQRT(SUM($V$25:V29)*O29^2)</f>
        <v>1.5320680980568978E-3</v>
      </c>
    </row>
    <row r="30" spans="1:23" ht="14.45" customHeight="1">
      <c r="A30" s="10">
        <v>40</v>
      </c>
      <c r="B30" s="77">
        <v>305.32799999999997</v>
      </c>
      <c r="C30" s="77">
        <v>55521.23</v>
      </c>
      <c r="D30" s="61">
        <f t="shared" si="8"/>
        <v>5.4993017986092879E-3</v>
      </c>
      <c r="E30" s="59">
        <f t="shared" si="10"/>
        <v>0.9728763932553427</v>
      </c>
      <c r="F30" s="59">
        <f>PRODUCT(E$25:E30)</f>
        <v>0.93043087238501676</v>
      </c>
      <c r="G30" s="59">
        <f t="shared" si="12"/>
        <v>-1.2966634411553486</v>
      </c>
      <c r="H30" s="59">
        <f>G$34+G$35*Modèles!$E29</f>
        <v>-1.2819263934060909</v>
      </c>
      <c r="I30" s="63"/>
      <c r="J30" s="10">
        <v>40</v>
      </c>
      <c r="K30" s="77">
        <v>224.2</v>
      </c>
      <c r="L30" s="77">
        <v>46777.5</v>
      </c>
      <c r="M30" s="61">
        <f t="shared" si="9"/>
        <v>4.7929025706803484E-3</v>
      </c>
      <c r="N30" s="59">
        <f t="shared" si="11"/>
        <v>0.97631923613164895</v>
      </c>
      <c r="O30" s="59">
        <f>PRODUCT(N$25:N30)</f>
        <v>0.9200273439078096</v>
      </c>
      <c r="P30" s="59">
        <f t="shared" si="13"/>
        <v>-1.2213593069203044</v>
      </c>
      <c r="Q30" s="59">
        <f>P$34+P$35*Modèles!$E29</f>
        <v>-1.2227692427411307</v>
      </c>
      <c r="S30" s="25">
        <f t="shared" si="14"/>
        <v>2.4766838932181053E-6</v>
      </c>
      <c r="T30" s="25">
        <f>SQRT(SUM($S$25:S30)*F30^2)</f>
        <v>1.9343355356076686E-3</v>
      </c>
      <c r="U30" s="6"/>
      <c r="V30" s="25">
        <f t="shared" si="15"/>
        <v>2.5619105381516645E-6</v>
      </c>
      <c r="W30" s="25">
        <f>SQRT(SUM($V$25:V30)*O30^2)</f>
        <v>2.0990260571407617E-3</v>
      </c>
    </row>
    <row r="31" spans="1:23" ht="14.45" customHeight="1">
      <c r="A31" s="10">
        <v>45</v>
      </c>
      <c r="B31" s="77">
        <v>209.90600000000001</v>
      </c>
      <c r="C31" s="77">
        <v>28127.58</v>
      </c>
      <c r="D31" s="61">
        <f t="shared" si="8"/>
        <v>7.4626398716135548E-3</v>
      </c>
      <c r="E31" s="59">
        <f t="shared" si="10"/>
        <v>0.96337018837376143</v>
      </c>
      <c r="F31" s="59">
        <f>PRODUCT(E$25:E31)</f>
        <v>0.89634936479831673</v>
      </c>
      <c r="G31" s="59">
        <f t="shared" si="12"/>
        <v>-1.0786521429256322</v>
      </c>
      <c r="H31" s="59">
        <f>G$34+G$35*Modèles!$E30</f>
        <v>-1.1045967620944568</v>
      </c>
      <c r="I31" s="63"/>
      <c r="J31" s="10">
        <v>45</v>
      </c>
      <c r="K31" s="77">
        <v>135.80000000000001</v>
      </c>
      <c r="L31" s="77">
        <v>22977.1</v>
      </c>
      <c r="M31" s="61">
        <f t="shared" si="9"/>
        <v>5.9102323617863011E-3</v>
      </c>
      <c r="N31" s="59">
        <f t="shared" si="11"/>
        <v>0.97087911616616485</v>
      </c>
      <c r="O31" s="59">
        <f>PRODUCT(N$25:N31)</f>
        <v>0.89323533450191839</v>
      </c>
      <c r="P31" s="59">
        <f t="shared" si="13"/>
        <v>-1.0621115271235435</v>
      </c>
      <c r="Q31" s="59">
        <f>P$34+P$35*Modèles!$E30</f>
        <v>-1.0725378267186996</v>
      </c>
      <c r="S31" s="25">
        <f t="shared" si="14"/>
        <v>6.6351587014292784E-6</v>
      </c>
      <c r="T31" s="25">
        <f>SQRT(SUM($S$25:S31)*F31^2)</f>
        <v>2.967074070477822E-3</v>
      </c>
      <c r="U31" s="6"/>
      <c r="V31" s="25">
        <f t="shared" si="15"/>
        <v>6.4319724338788533E-6</v>
      </c>
      <c r="W31" s="25">
        <f>SQRT(SUM($V$25:V31)*O31^2)</f>
        <v>3.0471154314758793E-3</v>
      </c>
    </row>
    <row r="32" spans="1:23" ht="14.45" customHeight="1">
      <c r="A32" s="10">
        <v>50</v>
      </c>
      <c r="B32" s="77">
        <v>156.44499999999999</v>
      </c>
      <c r="C32" s="77">
        <v>9542.4500000000007</v>
      </c>
      <c r="D32" s="61">
        <f>B32/C32</f>
        <v>1.6394636597519503E-2</v>
      </c>
      <c r="E32" s="59">
        <f t="shared" si="10"/>
        <v>0.92125433347804475</v>
      </c>
      <c r="F32" s="59">
        <f>PRODUCT(E$25:E32)</f>
        <v>0.82576573663074204</v>
      </c>
      <c r="G32" s="59">
        <f t="shared" si="12"/>
        <v>-0.77795519327792539</v>
      </c>
      <c r="H32" s="59">
        <f>G$34+G$35*Modèles!$E31</f>
        <v>-0.91015415080065376</v>
      </c>
      <c r="I32" s="63"/>
      <c r="J32" s="10">
        <v>50</v>
      </c>
      <c r="K32" s="77">
        <v>71.2</v>
      </c>
      <c r="L32" s="77">
        <v>7728.7</v>
      </c>
      <c r="M32" s="61">
        <f t="shared" si="9"/>
        <v>9.21241605962193E-3</v>
      </c>
      <c r="N32" s="59">
        <f t="shared" si="11"/>
        <v>0.9549748947095501</v>
      </c>
      <c r="O32" s="59">
        <f>PRODUCT(N$25:N32)</f>
        <v>0.85301731951681925</v>
      </c>
      <c r="P32" s="59">
        <f t="shared" si="13"/>
        <v>-0.87923254576527077</v>
      </c>
      <c r="Q32" s="59">
        <f>P$34+P$35*Modèles!$E31</f>
        <v>-0.90780851095966586</v>
      </c>
      <c r="S32" s="25">
        <f t="shared" si="14"/>
        <v>4.3024129818157865E-5</v>
      </c>
      <c r="T32" s="25">
        <f>SQRT(SUM($S$25:S32)*F32^2)</f>
        <v>6.067068633569761E-3</v>
      </c>
      <c r="U32" s="6"/>
      <c r="V32" s="25">
        <f t="shared" si="15"/>
        <v>2.9815186201577284E-5</v>
      </c>
      <c r="W32" s="25">
        <f>SQRT(SUM($V$25:V32)*O32^2)</f>
        <v>5.4920220175995208E-3</v>
      </c>
    </row>
    <row r="33" spans="1:23" ht="14.45" customHeight="1">
      <c r="A33" s="11">
        <v>55</v>
      </c>
      <c r="B33" s="77">
        <v>73.703999999999994</v>
      </c>
      <c r="C33" s="77">
        <v>3108.95</v>
      </c>
      <c r="D33" s="61">
        <f>B33/C33</f>
        <v>2.3707039354122775E-2</v>
      </c>
      <c r="E33" s="60">
        <f t="shared" si="10"/>
        <v>0.88809702387640022</v>
      </c>
      <c r="F33" s="60">
        <f>PRODUCT(E$25:E33)</f>
        <v>0.73336009312086536</v>
      </c>
      <c r="G33" s="60">
        <f t="shared" si="12"/>
        <v>-0.50586887793531932</v>
      </c>
      <c r="H33" s="60">
        <f>G$34+G$35*Modèles!$E32</f>
        <v>-0.69872154125068564</v>
      </c>
      <c r="I33" s="63"/>
      <c r="J33" s="11">
        <v>55</v>
      </c>
      <c r="K33" s="77">
        <v>24.8</v>
      </c>
      <c r="L33" s="77">
        <v>2447.4</v>
      </c>
      <c r="M33" s="61">
        <f t="shared" si="9"/>
        <v>1.013320258233227E-2</v>
      </c>
      <c r="N33" s="60">
        <f t="shared" si="11"/>
        <v>0.95058579740176929</v>
      </c>
      <c r="O33" s="60">
        <f>PRODUCT(N$25:N33)</f>
        <v>0.81086614887041542</v>
      </c>
      <c r="P33" s="60">
        <f t="shared" si="13"/>
        <v>-0.72782401225520887</v>
      </c>
      <c r="Q33" s="60">
        <f>P$34+P$35*Modèles!$E32</f>
        <v>-0.72868548402352662</v>
      </c>
      <c r="S33" s="25">
        <f>(1-E33)^2/(E33*B33)</f>
        <v>1.9130741398849078E-4</v>
      </c>
      <c r="T33" s="25">
        <f>SQRT(SUM($S$25:S33)*F33^2)</f>
        <v>1.1485664867727357E-2</v>
      </c>
      <c r="U33" s="6"/>
      <c r="V33" s="25">
        <f t="shared" si="15"/>
        <v>1.0357634484411577E-4</v>
      </c>
      <c r="W33" s="25">
        <f>SQRT(SUM($V$25:V33)*O33^2)</f>
        <v>9.7650864991193267E-3</v>
      </c>
    </row>
    <row r="34" spans="1:23" ht="14.45" customHeight="1">
      <c r="A34" s="20" t="s">
        <v>8</v>
      </c>
      <c r="B34" s="2"/>
      <c r="C34" s="2"/>
      <c r="D34" s="78">
        <f>1-F31</f>
        <v>0.10365063520168327</v>
      </c>
      <c r="E34" s="79">
        <f>D34-1.96*T31</f>
        <v>9.7835170023546747E-2</v>
      </c>
      <c r="F34" s="80">
        <f>D34+1.96*T31</f>
        <v>0.1094661003798198</v>
      </c>
      <c r="G34" s="73">
        <f>INTERCEPT(G25:G32,Modèles!$E$24:$E$31)</f>
        <v>8.6670657874545087E-2</v>
      </c>
      <c r="H34" s="78">
        <f>1-1/(1+EXP(2*H31))</f>
        <v>9.8927940152385152E-2</v>
      </c>
      <c r="J34" s="20" t="s">
        <v>8</v>
      </c>
      <c r="K34" s="2"/>
      <c r="L34" s="2"/>
      <c r="M34" s="78">
        <f>1-O31</f>
        <v>0.10676466549808161</v>
      </c>
      <c r="N34" s="79">
        <f>M34-1.96*W31</f>
        <v>0.10079231925238889</v>
      </c>
      <c r="O34" s="80">
        <f>M34+1.96*W31</f>
        <v>0.11273701174377433</v>
      </c>
      <c r="P34" s="73">
        <f>INTERCEPT(P25:P32,Modèles!$E$24:$E$31)</f>
        <v>-6.331116764545186E-2</v>
      </c>
      <c r="Q34" s="78">
        <f>1-1/(1+EXP(2*Q31))</f>
        <v>0.10479228208662428</v>
      </c>
      <c r="S34" s="6"/>
      <c r="T34" s="6"/>
      <c r="U34" s="6"/>
      <c r="V34" s="6"/>
      <c r="W34" s="6"/>
    </row>
    <row r="35" spans="1:23" ht="17.100000000000001" customHeight="1">
      <c r="A35" s="21" t="s">
        <v>9</v>
      </c>
      <c r="B35" s="4"/>
      <c r="C35" s="4"/>
      <c r="D35" s="81">
        <f>1-F33</f>
        <v>0.26663990687913464</v>
      </c>
      <c r="E35" s="82">
        <f>D35-1.96*T33</f>
        <v>0.24412800373838903</v>
      </c>
      <c r="F35" s="83">
        <f>D35+1.96*T33</f>
        <v>0.28915181001988027</v>
      </c>
      <c r="G35" s="74">
        <f>SLOPE(G25:G32,Modèles!$E$24:$E$31)</f>
        <v>1.1691620285955302</v>
      </c>
      <c r="H35" s="81">
        <f>1-1/(1+EXP(2*H33))</f>
        <v>0.19822216915562307</v>
      </c>
      <c r="J35" s="21" t="s">
        <v>9</v>
      </c>
      <c r="K35" s="4"/>
      <c r="L35" s="4"/>
      <c r="M35" s="81">
        <f>1-O33</f>
        <v>0.18913385112958458</v>
      </c>
      <c r="N35" s="82">
        <f>M35-1.96*W33</f>
        <v>0.16999428159131069</v>
      </c>
      <c r="O35" s="83">
        <f>M35+1.96*W33</f>
        <v>0.20827342066785848</v>
      </c>
      <c r="P35" s="74">
        <f>SLOPE(P25:P32,Modèles!$E$24:$E$31)</f>
        <v>0.99049925168395136</v>
      </c>
      <c r="Q35" s="81">
        <f>1-1/(1+EXP(2*Q33))</f>
        <v>0.18886975816853735</v>
      </c>
      <c r="S35" s="4"/>
      <c r="T35" s="4"/>
      <c r="U35" s="4"/>
      <c r="V35" s="4"/>
      <c r="W35" s="4"/>
    </row>
    <row r="36" spans="1:23" ht="6" customHeight="1">
      <c r="A36" s="52"/>
      <c r="B36" s="53"/>
      <c r="C36" s="53"/>
      <c r="D36" s="54"/>
      <c r="E36" s="55"/>
      <c r="F36" s="56"/>
      <c r="G36" s="54"/>
      <c r="H36" s="54"/>
      <c r="J36" s="52"/>
      <c r="K36" s="53"/>
      <c r="L36" s="53"/>
      <c r="M36" s="54"/>
      <c r="N36" s="55"/>
      <c r="O36" s="56"/>
      <c r="P36" s="54"/>
      <c r="Q36" s="54"/>
      <c r="S36" s="53"/>
      <c r="T36" s="53"/>
      <c r="U36" s="53"/>
      <c r="V36" s="53"/>
      <c r="W36" s="53"/>
    </row>
    <row r="37" spans="1:23" s="47" customFormat="1" ht="12" customHeight="1">
      <c r="A37" s="13"/>
      <c r="B37"/>
      <c r="C37"/>
      <c r="D37"/>
      <c r="E37"/>
      <c r="F37"/>
      <c r="G37"/>
      <c r="H37" s="84">
        <f>YEAR(Introduction!D12)+YEARFRAC(DATE(YEAR(Introduction!D12),1,1),Introduction!D12,1)-(Introduction!D13+Introduction!D14)/2</f>
        <v>1997.7246575342465</v>
      </c>
      <c r="I37" s="53"/>
      <c r="J37" s="13"/>
      <c r="K37"/>
      <c r="L37"/>
      <c r="M37"/>
      <c r="N37"/>
      <c r="O37"/>
      <c r="P37"/>
      <c r="Q37" s="84">
        <f>H37</f>
        <v>1997.7246575342465</v>
      </c>
      <c r="S37"/>
      <c r="T37"/>
      <c r="U37"/>
      <c r="V37"/>
      <c r="W37"/>
    </row>
    <row r="38" spans="1:23" ht="15" customHeight="1">
      <c r="A38" s="7" t="s">
        <v>0</v>
      </c>
      <c r="B38" s="106" t="s">
        <v>51</v>
      </c>
      <c r="C38" s="106"/>
      <c r="D38" s="108"/>
      <c r="E38" s="108"/>
      <c r="F38" s="106"/>
      <c r="G38" s="108"/>
      <c r="H38" s="108"/>
      <c r="I38" s="64"/>
      <c r="J38" s="7" t="s">
        <v>0</v>
      </c>
      <c r="K38" s="106" t="s">
        <v>52</v>
      </c>
      <c r="L38" s="107"/>
      <c r="M38" s="107"/>
      <c r="N38" s="107"/>
      <c r="O38" s="107"/>
      <c r="P38" s="107"/>
      <c r="Q38" s="107"/>
      <c r="S38" s="102"/>
      <c r="T38" s="102"/>
      <c r="U38" s="22"/>
      <c r="V38" s="102"/>
      <c r="W38" s="102"/>
    </row>
    <row r="39" spans="1:23" ht="18">
      <c r="A39" s="14" t="s">
        <v>3</v>
      </c>
      <c r="B39" s="12" t="s">
        <v>47</v>
      </c>
      <c r="C39" s="9" t="s">
        <v>50</v>
      </c>
      <c r="D39" s="96" t="s">
        <v>48</v>
      </c>
      <c r="E39" s="5" t="s">
        <v>1</v>
      </c>
      <c r="F39" s="1" t="s">
        <v>2</v>
      </c>
      <c r="G39" s="5" t="s">
        <v>15</v>
      </c>
      <c r="H39" s="5" t="s">
        <v>49</v>
      </c>
      <c r="I39" s="64"/>
      <c r="J39" s="14" t="s">
        <v>3</v>
      </c>
      <c r="K39" s="12" t="s">
        <v>47</v>
      </c>
      <c r="L39" s="9" t="s">
        <v>50</v>
      </c>
      <c r="M39" s="96" t="s">
        <v>48</v>
      </c>
      <c r="N39" s="5" t="s">
        <v>1</v>
      </c>
      <c r="O39" s="1" t="s">
        <v>2</v>
      </c>
      <c r="P39" s="5" t="s">
        <v>15</v>
      </c>
      <c r="Q39" s="5" t="s">
        <v>49</v>
      </c>
      <c r="S39" s="103" t="s">
        <v>41</v>
      </c>
      <c r="T39" s="103"/>
      <c r="U39" s="23"/>
      <c r="V39" s="103" t="s">
        <v>42</v>
      </c>
      <c r="W39" s="103"/>
    </row>
    <row r="40" spans="1:23" ht="17.100000000000001" customHeight="1">
      <c r="A40" s="10">
        <v>0</v>
      </c>
      <c r="B40" s="62">
        <f t="shared" ref="B40:C51" si="16">B4+B22</f>
        <v>573.59500000000003</v>
      </c>
      <c r="C40" s="62">
        <f>C4+C22</f>
        <v>35713.270000000004</v>
      </c>
      <c r="D40" s="61">
        <f t="shared" ref="D40:D50" si="17">B40/C40</f>
        <v>1.6061116778161171E-2</v>
      </c>
      <c r="E40" s="3"/>
      <c r="F40" s="3"/>
      <c r="G40" s="3"/>
      <c r="H40" s="3"/>
      <c r="I40" s="63"/>
      <c r="J40" s="10">
        <v>0</v>
      </c>
      <c r="K40" s="62">
        <f t="shared" ref="K40:L51" si="18">K4+K22</f>
        <v>762.15</v>
      </c>
      <c r="L40" s="62">
        <f t="shared" si="18"/>
        <v>33726.300000000003</v>
      </c>
      <c r="M40" s="61">
        <f>K40/L40</f>
        <v>2.2598091103975232E-2</v>
      </c>
      <c r="N40" s="3"/>
      <c r="O40" s="3"/>
      <c r="P40" s="3"/>
      <c r="Q40" s="3"/>
      <c r="S40" s="2"/>
      <c r="T40" s="2"/>
      <c r="U40" s="2"/>
      <c r="V40" s="2"/>
      <c r="W40" s="2"/>
    </row>
    <row r="41" spans="1:23" ht="14.45" customHeight="1">
      <c r="A41" s="10">
        <v>5</v>
      </c>
      <c r="B41" s="62">
        <f t="shared" si="16"/>
        <v>209.38899999999998</v>
      </c>
      <c r="C41" s="62">
        <f t="shared" si="16"/>
        <v>101491.93000000001</v>
      </c>
      <c r="D41" s="61">
        <f t="shared" si="17"/>
        <v>2.0631098452852355E-3</v>
      </c>
      <c r="E41" s="3"/>
      <c r="F41" s="3"/>
      <c r="G41" s="3"/>
      <c r="H41" s="3"/>
      <c r="I41" s="63"/>
      <c r="J41" s="10">
        <v>5</v>
      </c>
      <c r="K41" s="62">
        <f t="shared" si="18"/>
        <v>282.68</v>
      </c>
      <c r="L41" s="62">
        <f t="shared" si="18"/>
        <v>92839.700000000012</v>
      </c>
      <c r="M41" s="61">
        <f t="shared" ref="M41:M51" si="19">K41/L41</f>
        <v>3.0448181112175069E-3</v>
      </c>
      <c r="N41" s="3"/>
      <c r="O41" s="3"/>
      <c r="P41" s="3"/>
      <c r="Q41" s="3"/>
      <c r="S41" s="2"/>
      <c r="T41" s="2"/>
      <c r="U41" s="2"/>
      <c r="V41" s="2"/>
      <c r="W41" s="2"/>
    </row>
    <row r="42" spans="1:23" ht="14.45" customHeight="1">
      <c r="A42" s="10">
        <v>10</v>
      </c>
      <c r="B42" s="62">
        <f t="shared" si="16"/>
        <v>204.45400000000001</v>
      </c>
      <c r="C42" s="62">
        <f t="shared" si="16"/>
        <v>176352.05</v>
      </c>
      <c r="D42" s="61">
        <f t="shared" si="17"/>
        <v>1.1593514223395759E-3</v>
      </c>
      <c r="E42" s="3"/>
      <c r="F42" s="3"/>
      <c r="G42" s="3"/>
      <c r="H42" s="3"/>
      <c r="I42" s="63"/>
      <c r="J42" s="10">
        <v>10</v>
      </c>
      <c r="K42" s="62">
        <f t="shared" si="18"/>
        <v>198.10000000000002</v>
      </c>
      <c r="L42" s="62">
        <f t="shared" si="18"/>
        <v>163383.20000000001</v>
      </c>
      <c r="M42" s="61">
        <f t="shared" si="19"/>
        <v>1.2124869631638994E-3</v>
      </c>
      <c r="N42" s="3"/>
      <c r="O42" s="3"/>
      <c r="P42" s="3"/>
      <c r="Q42" s="3"/>
      <c r="S42" s="2"/>
      <c r="T42" s="2"/>
      <c r="U42" s="2"/>
      <c r="V42" s="2"/>
      <c r="W42" s="2"/>
    </row>
    <row r="43" spans="1:23" ht="14.45" customHeight="1">
      <c r="A43" s="10">
        <v>15</v>
      </c>
      <c r="B43" s="62">
        <f t="shared" si="16"/>
        <v>241.69499999999999</v>
      </c>
      <c r="C43" s="62">
        <f t="shared" si="16"/>
        <v>230691.03000000003</v>
      </c>
      <c r="D43" s="61">
        <f t="shared" si="17"/>
        <v>1.0477000341105589E-3</v>
      </c>
      <c r="E43" s="59">
        <f t="shared" ref="E43:E51" si="20">1-5*D43/(1+2.5*D43)</f>
        <v>0.9947751849267733</v>
      </c>
      <c r="F43" s="59">
        <f>PRODUCT(E$43:E43)</f>
        <v>0.9947751849267733</v>
      </c>
      <c r="G43" s="59">
        <f>-0.5*LN(F43/(1-F43))</f>
        <v>-2.624548681145678</v>
      </c>
      <c r="H43" s="59">
        <f>G$52+G$53*Modèles!$E24</f>
        <v>-2.7195940204464284</v>
      </c>
      <c r="I43" s="63"/>
      <c r="J43" s="10">
        <v>15</v>
      </c>
      <c r="K43" s="62">
        <f t="shared" si="18"/>
        <v>350.3</v>
      </c>
      <c r="L43" s="62">
        <f t="shared" si="18"/>
        <v>211840.6</v>
      </c>
      <c r="M43" s="61">
        <f t="shared" si="19"/>
        <v>1.6536018119284028E-3</v>
      </c>
      <c r="N43" s="59">
        <f t="shared" ref="N43:N51" si="21">1-5*M43/(1+2.5*M43)</f>
        <v>0.9917660302087733</v>
      </c>
      <c r="O43" s="59">
        <f>PRODUCT(N$43:N43)</f>
        <v>0.9917660302087733</v>
      </c>
      <c r="P43" s="59">
        <f>-0.5*LN(O43/(1-O43))</f>
        <v>-2.3956094841328324</v>
      </c>
      <c r="Q43" s="59">
        <f>P$52+P$53*Modèles!$E24</f>
        <v>-2.431824195313018</v>
      </c>
      <c r="S43" s="25">
        <f>(1-E43)^2/(E43*B43)</f>
        <v>1.1354009103383673E-7</v>
      </c>
      <c r="T43" s="25">
        <f>SQRT(SUM($S$43:S43)*F43^2)</f>
        <v>3.351965670644251E-4</v>
      </c>
      <c r="U43" s="6"/>
      <c r="V43" s="25">
        <f>(1-N43)^2/(N43*K43)</f>
        <v>1.9515027719610001E-7</v>
      </c>
      <c r="W43" s="25">
        <f>SQRT(SUM($V$43:V43)*O43^2)</f>
        <v>4.381207425706751E-4</v>
      </c>
    </row>
    <row r="44" spans="1:23" ht="14.45" customHeight="1">
      <c r="A44" s="10">
        <v>20</v>
      </c>
      <c r="B44" s="62">
        <f t="shared" si="16"/>
        <v>326.28300000000002</v>
      </c>
      <c r="C44" s="62">
        <f t="shared" si="16"/>
        <v>259756.57</v>
      </c>
      <c r="D44" s="61">
        <f t="shared" si="17"/>
        <v>1.2561106731583344E-3</v>
      </c>
      <c r="E44" s="59">
        <f t="shared" si="20"/>
        <v>0.99373910756872441</v>
      </c>
      <c r="F44" s="59">
        <f>PRODUCT(E$43:E44)</f>
        <v>0.98854700450064448</v>
      </c>
      <c r="G44" s="59">
        <f t="shared" ref="G44:G51" si="22">-0.5*LN(F44/(1-F44))</f>
        <v>-2.2289924406860666</v>
      </c>
      <c r="H44" s="59">
        <f>G$52+G$53*Modèles!$E25</f>
        <v>-2.2117810647129437</v>
      </c>
      <c r="I44" s="63"/>
      <c r="J44" s="10">
        <v>20</v>
      </c>
      <c r="K44" s="62">
        <f t="shared" si="18"/>
        <v>436.83</v>
      </c>
      <c r="L44" s="62">
        <f t="shared" si="18"/>
        <v>241208.5</v>
      </c>
      <c r="M44" s="61">
        <f t="shared" si="19"/>
        <v>1.8110058310548756E-3</v>
      </c>
      <c r="N44" s="59">
        <f t="shared" si="21"/>
        <v>0.99098578284430405</v>
      </c>
      <c r="O44" s="59">
        <f>PRODUCT(N$43:N44)</f>
        <v>0.98282603584482886</v>
      </c>
      <c r="P44" s="59">
        <f t="shared" ref="P44:P51" si="23">-0.5*LN(O44/(1-O44))</f>
        <v>-2.0235188033516511</v>
      </c>
      <c r="Q44" s="59">
        <f>P$52+P$53*Modèles!$E25</f>
        <v>-2.0108615113568429</v>
      </c>
      <c r="S44" s="25">
        <f t="shared" ref="S44:S50" si="24">(1-E44)^2/(E44*B44)</f>
        <v>1.2089425305122632E-7</v>
      </c>
      <c r="T44" s="25">
        <f>SQRT(SUM($S$43:S44)*F44^2)</f>
        <v>4.7863884518688866E-4</v>
      </c>
      <c r="U44" s="6"/>
      <c r="V44" s="25">
        <f t="shared" ref="V44:V51" si="25">(1-N44)^2/(N44*K44)</f>
        <v>1.8770513420095929E-7</v>
      </c>
      <c r="W44" s="25">
        <f>SQRT(SUM($V$43:V44)*O44^2)</f>
        <v>6.0812666647634694E-4</v>
      </c>
    </row>
    <row r="45" spans="1:23" ht="14.45" customHeight="1">
      <c r="A45" s="10">
        <v>25</v>
      </c>
      <c r="B45" s="62">
        <f t="shared" si="16"/>
        <v>377.36500000000001</v>
      </c>
      <c r="C45" s="62">
        <f t="shared" si="16"/>
        <v>258625.95</v>
      </c>
      <c r="D45" s="61">
        <f t="shared" si="17"/>
        <v>1.4591149882678053E-3</v>
      </c>
      <c r="E45" s="59">
        <f t="shared" si="20"/>
        <v>0.99273094104085569</v>
      </c>
      <c r="F45" s="59">
        <f>PRODUCT(E$43:E45)</f>
        <v>0.98136119804104383</v>
      </c>
      <c r="G45" s="59">
        <f t="shared" si="22"/>
        <v>-1.9818475254583798</v>
      </c>
      <c r="H45" s="59">
        <f>G$52+G$53*Modèles!$E26</f>
        <v>-1.9281807238298023</v>
      </c>
      <c r="I45" s="63"/>
      <c r="J45" s="10">
        <v>25</v>
      </c>
      <c r="K45" s="62">
        <f t="shared" si="18"/>
        <v>488.01</v>
      </c>
      <c r="L45" s="62">
        <f t="shared" si="18"/>
        <v>241111.4</v>
      </c>
      <c r="M45" s="61">
        <f t="shared" si="19"/>
        <v>2.0240021832231905E-3</v>
      </c>
      <c r="N45" s="59">
        <f t="shared" si="21"/>
        <v>0.98993093858957826</v>
      </c>
      <c r="O45" s="59">
        <f>PRODUCT(N$43:N45)</f>
        <v>0.97292990013414593</v>
      </c>
      <c r="P45" s="59">
        <f t="shared" si="23"/>
        <v>-1.7909411208586559</v>
      </c>
      <c r="Q45" s="59">
        <f>P$52+P$53*Modèles!$E26</f>
        <v>-1.7757647905640197</v>
      </c>
      <c r="S45" s="25">
        <f>(1-E45)^2/(E45*B45)</f>
        <v>1.4104679016412448E-7</v>
      </c>
      <c r="T45" s="25">
        <f>SQRT(SUM($S$43:S45)*F45^2)</f>
        <v>6.0134394588150339E-4</v>
      </c>
      <c r="U45" s="6"/>
      <c r="V45" s="25">
        <f t="shared" si="25"/>
        <v>2.0986709944077371E-7</v>
      </c>
      <c r="W45" s="25">
        <f>SQRT(SUM($V$43:V45)*O45^2)</f>
        <v>7.4904388190954877E-4</v>
      </c>
    </row>
    <row r="46" spans="1:23" ht="14.45" customHeight="1">
      <c r="A46" s="10">
        <v>30</v>
      </c>
      <c r="B46" s="62">
        <f t="shared" si="16"/>
        <v>408.74899999999997</v>
      </c>
      <c r="C46" s="62">
        <f t="shared" si="16"/>
        <v>229150.16999999998</v>
      </c>
      <c r="D46" s="61">
        <f t="shared" si="17"/>
        <v>1.78376040480354E-3</v>
      </c>
      <c r="E46" s="59">
        <f t="shared" si="20"/>
        <v>0.99112079391657659</v>
      </c>
      <c r="F46" s="59">
        <f>PRODUCT(E$43:E46)</f>
        <v>0.97264748972136206</v>
      </c>
      <c r="G46" s="59">
        <f t="shared" si="22"/>
        <v>-1.785606708111116</v>
      </c>
      <c r="H46" s="59">
        <f>G$52+G$53*Modèles!$E27</f>
        <v>-1.7134641811580587</v>
      </c>
      <c r="I46" s="63"/>
      <c r="J46" s="10">
        <v>30</v>
      </c>
      <c r="K46" s="62">
        <f t="shared" si="18"/>
        <v>455.04</v>
      </c>
      <c r="L46" s="62">
        <f t="shared" si="18"/>
        <v>210963.3</v>
      </c>
      <c r="M46" s="61">
        <f t="shared" si="19"/>
        <v>2.1569628461443296E-3</v>
      </c>
      <c r="N46" s="59">
        <f t="shared" si="21"/>
        <v>0.98927302995885447</v>
      </c>
      <c r="O46" s="59">
        <f>PRODUCT(N$43:N46)</f>
        <v>0.96249331024327223</v>
      </c>
      <c r="P46" s="59">
        <f t="shared" si="23"/>
        <v>-1.6225039025811547</v>
      </c>
      <c r="Q46" s="59">
        <f>P$52+P$53*Modèles!$E27</f>
        <v>-1.5977708046438852</v>
      </c>
      <c r="S46" s="25">
        <f t="shared" si="24"/>
        <v>1.9460992302858374E-7</v>
      </c>
      <c r="T46" s="25">
        <f>SQRT(SUM($S$43:S46)*F46^2)</f>
        <v>7.3439140347081788E-4</v>
      </c>
      <c r="U46" s="6"/>
      <c r="V46" s="25">
        <f t="shared" si="25"/>
        <v>2.5561621005304774E-7</v>
      </c>
      <c r="W46" s="25">
        <f>SQRT(SUM($V$43:V46)*O46^2)</f>
        <v>8.8650739899192427E-4</v>
      </c>
    </row>
    <row r="47" spans="1:23" ht="14.45" customHeight="1">
      <c r="A47" s="10">
        <v>35</v>
      </c>
      <c r="B47" s="62">
        <f t="shared" si="16"/>
        <v>442.27100000000002</v>
      </c>
      <c r="C47" s="62">
        <f t="shared" si="16"/>
        <v>178761.96</v>
      </c>
      <c r="D47" s="61">
        <f t="shared" si="17"/>
        <v>2.4740778183456932E-3</v>
      </c>
      <c r="E47" s="59">
        <f t="shared" si="20"/>
        <v>0.98770565383114017</v>
      </c>
      <c r="F47" s="59">
        <f>PRODUCT(E$43:E47)</f>
        <v>0.96068942478245511</v>
      </c>
      <c r="G47" s="59">
        <f t="shared" si="22"/>
        <v>-1.5980788026739745</v>
      </c>
      <c r="H47" s="59">
        <f>G$52+G$53*Modèles!$E28</f>
        <v>-1.5318386553537195</v>
      </c>
      <c r="I47" s="63"/>
      <c r="J47" s="10">
        <v>35</v>
      </c>
      <c r="K47" s="62">
        <f t="shared" si="18"/>
        <v>417.51</v>
      </c>
      <c r="L47" s="62">
        <f t="shared" si="18"/>
        <v>160378.1</v>
      </c>
      <c r="M47" s="61">
        <f t="shared" si="19"/>
        <v>2.6032856106912353E-3</v>
      </c>
      <c r="N47" s="59">
        <f t="shared" si="21"/>
        <v>0.98706773787629465</v>
      </c>
      <c r="O47" s="59">
        <f>PRODUCT(N$43:N47)</f>
        <v>0.95004609446289334</v>
      </c>
      <c r="P47" s="59">
        <f t="shared" si="23"/>
        <v>-1.4727049064678652</v>
      </c>
      <c r="Q47" s="59">
        <f>P$52+P$53*Modèles!$E28</f>
        <v>-1.4472083427092328</v>
      </c>
      <c r="S47" s="25">
        <f t="shared" si="24"/>
        <v>3.4601495640492721E-7</v>
      </c>
      <c r="T47" s="25">
        <f>SQRT(SUM($S$43:S47)*F47^2)</f>
        <v>9.1950877272834592E-4</v>
      </c>
      <c r="U47" s="6"/>
      <c r="V47" s="25">
        <f t="shared" si="25"/>
        <v>4.0582159944837217E-7</v>
      </c>
      <c r="W47" s="25">
        <f>SQRT(SUM($V$43:V47)*O47^2)</f>
        <v>1.063949966153931E-3</v>
      </c>
    </row>
    <row r="48" spans="1:23" ht="14.45" customHeight="1">
      <c r="A48" s="10">
        <v>40</v>
      </c>
      <c r="B48" s="62">
        <f t="shared" si="16"/>
        <v>469.55499999999995</v>
      </c>
      <c r="C48" s="62">
        <f t="shared" si="16"/>
        <v>113363.59</v>
      </c>
      <c r="D48" s="61">
        <f t="shared" si="17"/>
        <v>4.1420265536756548E-3</v>
      </c>
      <c r="E48" s="59">
        <f t="shared" si="20"/>
        <v>0.97950212409732873</v>
      </c>
      <c r="F48" s="59">
        <f>PRODUCT(E$43:E48)</f>
        <v>0.94099733217225567</v>
      </c>
      <c r="G48" s="59">
        <f t="shared" si="22"/>
        <v>-1.3846788220899817</v>
      </c>
      <c r="H48" s="59">
        <f>G$52+G$53*Modèles!$E29</f>
        <v>-1.3566726291190752</v>
      </c>
      <c r="I48" s="63"/>
      <c r="J48" s="10">
        <v>40</v>
      </c>
      <c r="K48" s="62">
        <f t="shared" si="18"/>
        <v>377.49</v>
      </c>
      <c r="L48" s="62">
        <f t="shared" si="18"/>
        <v>97268.6</v>
      </c>
      <c r="M48" s="61">
        <f t="shared" si="19"/>
        <v>3.8809029841079235E-3</v>
      </c>
      <c r="N48" s="59">
        <f t="shared" si="21"/>
        <v>0.98078194361043791</v>
      </c>
      <c r="O48" s="59">
        <f>PRODUCT(N$43:N48)</f>
        <v>0.93178805504682227</v>
      </c>
      <c r="P48" s="59">
        <f t="shared" si="23"/>
        <v>-1.3072428423110385</v>
      </c>
      <c r="Q48" s="59">
        <f>P$52+P$53*Modèles!$E29</f>
        <v>-1.3020006245737905</v>
      </c>
      <c r="S48" s="25">
        <f t="shared" si="24"/>
        <v>9.1353642294716379E-7</v>
      </c>
      <c r="T48" s="25">
        <f>SQRT(SUM($S$43:S48)*F48^2)</f>
        <v>1.2728332286984501E-3</v>
      </c>
      <c r="U48" s="6"/>
      <c r="V48" s="25">
        <f t="shared" si="25"/>
        <v>9.9756456416694403E-7</v>
      </c>
      <c r="W48" s="25">
        <f>SQRT(SUM($V$43:V48)*O48^2)</f>
        <v>1.39821772219225E-3</v>
      </c>
    </row>
    <row r="49" spans="1:23" ht="14.45" customHeight="1">
      <c r="A49" s="10">
        <v>45</v>
      </c>
      <c r="B49" s="62">
        <f t="shared" si="16"/>
        <v>409.00800000000004</v>
      </c>
      <c r="C49" s="62">
        <f t="shared" si="16"/>
        <v>61095.58</v>
      </c>
      <c r="D49" s="61">
        <f t="shared" si="17"/>
        <v>6.6945595737040228E-3</v>
      </c>
      <c r="E49" s="59">
        <f t="shared" si="20"/>
        <v>0.96707819460028555</v>
      </c>
      <c r="F49" s="59">
        <f>PRODUCT(E$43:E49)</f>
        <v>0.9100180011208302</v>
      </c>
      <c r="G49" s="59">
        <f t="shared" si="22"/>
        <v>-1.1569273714476347</v>
      </c>
      <c r="H49" s="59">
        <f>G$52+G$53*Modèles!$E30</f>
        <v>-1.1830233594086217</v>
      </c>
      <c r="I49" s="63"/>
      <c r="J49" s="10">
        <v>45</v>
      </c>
      <c r="K49" s="62">
        <f t="shared" si="18"/>
        <v>241.99</v>
      </c>
      <c r="L49" s="62">
        <f t="shared" si="18"/>
        <v>50456.1</v>
      </c>
      <c r="M49" s="61">
        <f t="shared" si="19"/>
        <v>4.7960504279958224E-3</v>
      </c>
      <c r="N49" s="59">
        <f t="shared" si="21"/>
        <v>0.97630386747635067</v>
      </c>
      <c r="O49" s="59">
        <f>PRODUCT(N$43:N49)</f>
        <v>0.90970828181047936</v>
      </c>
      <c r="P49" s="59">
        <f t="shared" si="23"/>
        <v>-1.155039118431672</v>
      </c>
      <c r="Q49" s="59">
        <f>P$52+P$53*Modèles!$E30</f>
        <v>-1.1580502550154623</v>
      </c>
      <c r="S49" s="25">
        <f t="shared" si="24"/>
        <v>2.7401471974054999E-6</v>
      </c>
      <c r="T49" s="25">
        <f>SQRT(SUM($S$43:S49)*F49^2)</f>
        <v>1.9453515140086777E-3</v>
      </c>
      <c r="U49" s="6"/>
      <c r="V49" s="25">
        <f t="shared" si="25"/>
        <v>2.3766898463825318E-6</v>
      </c>
      <c r="W49" s="25">
        <f>SQRT(SUM($V$43:V49)*O49^2)</f>
        <v>1.9571237267202272E-3</v>
      </c>
    </row>
    <row r="50" spans="1:23" ht="14.45" customHeight="1">
      <c r="A50" s="10">
        <v>50</v>
      </c>
      <c r="B50" s="62">
        <f t="shared" si="16"/>
        <v>312.98599999999999</v>
      </c>
      <c r="C50" s="62">
        <f t="shared" si="16"/>
        <v>23903.35</v>
      </c>
      <c r="D50" s="61">
        <f t="shared" si="17"/>
        <v>1.3093813210282241E-2</v>
      </c>
      <c r="E50" s="59">
        <f t="shared" si="20"/>
        <v>0.93660610354570029</v>
      </c>
      <c r="F50" s="59">
        <f>PRODUCT(E$43:E50)</f>
        <v>0.85232841418622751</v>
      </c>
      <c r="G50" s="59">
        <f t="shared" si="22"/>
        <v>-0.87649056094338373</v>
      </c>
      <c r="H50" s="59">
        <f>G$52+G$53*Modèles!$E31</f>
        <v>-0.99261627852756407</v>
      </c>
      <c r="I50" s="63"/>
      <c r="J50" s="10">
        <v>50</v>
      </c>
      <c r="K50" s="62">
        <f t="shared" si="18"/>
        <v>169.38</v>
      </c>
      <c r="L50" s="62">
        <f t="shared" si="18"/>
        <v>19621.2</v>
      </c>
      <c r="M50" s="61">
        <f t="shared" si="19"/>
        <v>8.6324995413124567E-3</v>
      </c>
      <c r="N50" s="59">
        <f t="shared" si="21"/>
        <v>0.95774932463275742</v>
      </c>
      <c r="O50" s="59">
        <f>PRODUCT(N$43:N50)</f>
        <v>0.87127249251681271</v>
      </c>
      <c r="P50" s="59">
        <f t="shared" si="23"/>
        <v>-0.95612847649707255</v>
      </c>
      <c r="Q50" s="59">
        <f>P$52+P$53*Modèles!$E31</f>
        <v>-1.0002081304556905</v>
      </c>
      <c r="S50" s="25">
        <f t="shared" si="24"/>
        <v>1.370922792408242E-5</v>
      </c>
      <c r="T50" s="25">
        <f>SQRT(SUM($S$43:S50)*F50^2)</f>
        <v>3.6440421507046229E-3</v>
      </c>
      <c r="U50" s="6"/>
      <c r="V50" s="25">
        <f t="shared" si="25"/>
        <v>1.1004069582956998E-5</v>
      </c>
      <c r="W50" s="25">
        <f>SQRT(SUM($V$43:V50)*O50^2)</f>
        <v>3.4448316579256725E-3</v>
      </c>
    </row>
    <row r="51" spans="1:23" ht="14.45" customHeight="1">
      <c r="A51" s="11">
        <v>55</v>
      </c>
      <c r="B51" s="62">
        <f t="shared" si="16"/>
        <v>157.74</v>
      </c>
      <c r="C51" s="62">
        <f>C15+C33</f>
        <v>7740.47</v>
      </c>
      <c r="D51" s="61">
        <f>B51/C51</f>
        <v>2.0378607500578131E-2</v>
      </c>
      <c r="E51" s="60">
        <f t="shared" si="20"/>
        <v>0.90304641036925215</v>
      </c>
      <c r="F51" s="60">
        <f>PRODUCT(E$43:E51)</f>
        <v>0.76969211488658995</v>
      </c>
      <c r="G51" s="60">
        <f t="shared" si="22"/>
        <v>-0.603286769702993</v>
      </c>
      <c r="H51" s="60">
        <f>G$52+G$53*Modèles!$E32</f>
        <v>-0.7855718157958661</v>
      </c>
      <c r="I51" s="63"/>
      <c r="J51" s="11">
        <v>55</v>
      </c>
      <c r="K51" s="62">
        <f t="shared" si="18"/>
        <v>56.71</v>
      </c>
      <c r="L51" s="62">
        <f t="shared" si="18"/>
        <v>6276.6</v>
      </c>
      <c r="M51" s="61">
        <f t="shared" si="19"/>
        <v>9.035146416849887E-3</v>
      </c>
      <c r="N51" s="60">
        <f t="shared" si="21"/>
        <v>0.95582215124544767</v>
      </c>
      <c r="O51" s="60">
        <f>PRODUCT(N$43:N51)</f>
        <v>0.8327815481184031</v>
      </c>
      <c r="P51" s="60">
        <f t="shared" si="23"/>
        <v>-0.80273515395607686</v>
      </c>
      <c r="Q51" s="60">
        <f>P$52+P$53*Modèles!$E32</f>
        <v>-0.82857408341979144</v>
      </c>
      <c r="S51" s="25">
        <f>(1-E51)^2/(E51*B51)</f>
        <v>6.5989658235060067E-5</v>
      </c>
      <c r="T51" s="25">
        <f>SQRT(SUM($S$43:S51)*F51^2)</f>
        <v>7.065617485884643E-3</v>
      </c>
      <c r="U51" s="6"/>
      <c r="V51" s="25">
        <f t="shared" si="25"/>
        <v>3.6005793771258594E-5</v>
      </c>
      <c r="W51" s="25">
        <f>SQRT(SUM($V$43:V51)*O51^2)</f>
        <v>5.9843497832601632E-3</v>
      </c>
    </row>
    <row r="52" spans="1:23" ht="14.45" customHeight="1">
      <c r="A52" s="20" t="s">
        <v>8</v>
      </c>
      <c r="B52" s="2"/>
      <c r="C52" s="2"/>
      <c r="D52" s="78">
        <f>1-F49</f>
        <v>8.99819988791698E-2</v>
      </c>
      <c r="E52" s="79">
        <f>D52-1.96*T49</f>
        <v>8.6169109911712796E-2</v>
      </c>
      <c r="F52" s="80">
        <f>D52+1.96*T49</f>
        <v>9.3794887846626804E-2</v>
      </c>
      <c r="G52" s="73">
        <f>INTERCEPT(G43:G50,Modèles!$E$24:$E$31)</f>
        <v>-1.6479922886507792E-2</v>
      </c>
      <c r="H52" s="78">
        <f>1-1/(1+EXP(2*H49))</f>
        <v>8.5798716803128339E-2</v>
      </c>
      <c r="J52" s="20" t="s">
        <v>8</v>
      </c>
      <c r="K52" s="2"/>
      <c r="L52" s="2"/>
      <c r="M52" s="78">
        <f>1-O49</f>
        <v>9.0291718189520642E-2</v>
      </c>
      <c r="N52" s="79">
        <f>M52-1.96*W49</f>
        <v>8.6455755685149002E-2</v>
      </c>
      <c r="O52" s="80">
        <f>M52+1.96*W49</f>
        <v>9.4127680693892282E-2</v>
      </c>
      <c r="P52" s="73">
        <f>INTERCEPT(P43:P50,Modèles!$E$24:$E$31)</f>
        <v>-0.19101849569276852</v>
      </c>
      <c r="Q52" s="78">
        <f>1-1/(1+EXP(2*Q49))</f>
        <v>8.9798272954033975E-2</v>
      </c>
      <c r="S52" s="6"/>
      <c r="T52" s="6"/>
      <c r="U52" s="6"/>
      <c r="V52" s="6"/>
      <c r="W52" s="6"/>
    </row>
    <row r="53" spans="1:23" ht="17.100000000000001" customHeight="1">
      <c r="A53" s="21" t="s">
        <v>9</v>
      </c>
      <c r="B53" s="4"/>
      <c r="C53" s="4"/>
      <c r="D53" s="81">
        <f>1-F51</f>
        <v>0.23030788511341005</v>
      </c>
      <c r="E53" s="82">
        <f>D53-1.96*T51</f>
        <v>0.21645927484107616</v>
      </c>
      <c r="F53" s="83">
        <f>D53+1.96*T51</f>
        <v>0.24415649538574394</v>
      </c>
      <c r="G53" s="74">
        <f>SLOPE(G43:G50,Modèles!$E$24:$E$31)</f>
        <v>1.1448968282239143</v>
      </c>
      <c r="H53" s="81">
        <f>1-1/(1+EXP(2*H51))</f>
        <v>0.17205341911902938</v>
      </c>
      <c r="J53" s="21" t="s">
        <v>9</v>
      </c>
      <c r="K53" s="4"/>
      <c r="L53" s="4"/>
      <c r="M53" s="81">
        <f>1-O51</f>
        <v>0.1672184518815969</v>
      </c>
      <c r="N53" s="82">
        <f>M53-1.96*W51</f>
        <v>0.15548912630640699</v>
      </c>
      <c r="O53" s="83">
        <f>M53+1.96*W51</f>
        <v>0.17894777745678681</v>
      </c>
      <c r="P53" s="74">
        <f>SLOPE(P43:P50,Modèles!$E$24:$E$31)</f>
        <v>0.94908732875062174</v>
      </c>
      <c r="Q53" s="81">
        <f>1-1/(1+EXP(2*Q51))</f>
        <v>0.16014519316864129</v>
      </c>
      <c r="S53" s="4"/>
      <c r="T53" s="4"/>
      <c r="U53" s="4"/>
      <c r="V53" s="4"/>
      <c r="W53" s="4"/>
    </row>
    <row r="54" spans="1:23" ht="17.100000000000001" customHeight="1"/>
  </sheetData>
  <sheetProtection sheet="1" objects="1" scenarios="1"/>
  <mergeCells count="18">
    <mergeCell ref="S3:T3"/>
    <mergeCell ref="V3:W3"/>
    <mergeCell ref="S38:T38"/>
    <mergeCell ref="V38:W38"/>
    <mergeCell ref="S39:T39"/>
    <mergeCell ref="V39:W39"/>
    <mergeCell ref="B2:H2"/>
    <mergeCell ref="K2:Q2"/>
    <mergeCell ref="B38:H38"/>
    <mergeCell ref="K38:Q38"/>
    <mergeCell ref="K20:Q20"/>
    <mergeCell ref="B20:H20"/>
    <mergeCell ref="S2:T2"/>
    <mergeCell ref="V2:W2"/>
    <mergeCell ref="S20:T20"/>
    <mergeCell ref="V20:W20"/>
    <mergeCell ref="S21:T21"/>
    <mergeCell ref="V21:W21"/>
  </mergeCells>
  <dataValidations count="1">
    <dataValidation type="decimal" operator="greaterThanOrEqual" allowBlank="1" showInputMessage="1" showErrorMessage="1" sqref="C4:C14 B4:B15 K22:L33 K4:L15 B22:C33">
      <formula1>0</formula1>
    </dataValidation>
  </dataValidations>
  <pageMargins left="0.70866141732283472" right="0.70866141732283472" top="0.59055118110236227" bottom="0.59055118110236227" header="0.23622047244094491" footer="0.23622047244094491"/>
  <pageSetup paperSize="9" orientation="portrait" r:id="rId1"/>
  <headerFooter>
    <oddHeader>&amp;L&amp;"+,Regular"&amp;14Tools for Demographic Estimation&amp;R&amp;"+,Regular"&amp;14Siblings - direct calculations</oddHeader>
    <oddFooter>&amp;L&amp;"+,Regular"&amp;12&amp;F&amp;R&amp;"+,Regular"&amp;12&amp;D  &amp;T</oddFooter>
  </headerFooter>
  <rowBreaks count="1" manualBreakCount="1">
    <brk id="53" max="16383" man="1"/>
  </rowBreaks>
  <colBreaks count="2" manualBreakCount="2">
    <brk id="9" max="1048575" man="1"/>
    <brk id="17"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W54"/>
  <sheetViews>
    <sheetView workbookViewId="0">
      <selection activeCell="F1" sqref="F1"/>
    </sheetView>
  </sheetViews>
  <sheetFormatPr defaultColWidth="9.140625" defaultRowHeight="12.75"/>
  <cols>
    <col min="3" max="3" width="11.140625" customWidth="1"/>
    <col min="4" max="4" width="10" customWidth="1"/>
    <col min="5" max="6" width="9.140625" customWidth="1"/>
    <col min="8" max="8" width="10.42578125" customWidth="1"/>
    <col min="9" max="9" width="3.5703125" style="53" customWidth="1"/>
    <col min="12" max="12" width="10.42578125" customWidth="1"/>
    <col min="13" max="13" width="10" customWidth="1"/>
    <col min="14" max="15" width="9.140625" customWidth="1"/>
    <col min="17" max="17" width="10.7109375" customWidth="1"/>
    <col min="18" max="18" width="4.42578125" customWidth="1"/>
    <col min="19" max="19" width="11.42578125" customWidth="1"/>
    <col min="20" max="20" width="9.5703125" customWidth="1"/>
    <col min="21" max="21" width="3.7109375" customWidth="1"/>
    <col min="22" max="22" width="11.140625" customWidth="1"/>
    <col min="23" max="23" width="10.140625" customWidth="1"/>
    <col min="24" max="25" width="10.5703125" bestFit="1" customWidth="1"/>
  </cols>
  <sheetData>
    <row r="1" spans="1:23" ht="12.75" customHeight="1">
      <c r="A1" s="46" t="str">
        <f>Introduction!D10</f>
        <v>Enquête sur la mortalité maternelle au Bangladesh</v>
      </c>
      <c r="H1" s="84">
        <f>YEAR(Introduction!D12)+YEARFRAC(DATE(YEAR(Introduction!D12),1,1),Introduction!D12,1)-Introduction!D13/2</f>
        <v>1999.7246575342465</v>
      </c>
      <c r="J1" s="46" t="str">
        <f>A1</f>
        <v>Enquête sur la mortalité maternelle au Bangladesh</v>
      </c>
      <c r="Q1" s="84">
        <f>H1</f>
        <v>1999.7246575342465</v>
      </c>
      <c r="S1" s="13" t="s">
        <v>53</v>
      </c>
    </row>
    <row r="2" spans="1:23" ht="15" customHeight="1">
      <c r="A2" s="69" t="s">
        <v>0</v>
      </c>
      <c r="B2" s="104" t="s">
        <v>43</v>
      </c>
      <c r="C2" s="104"/>
      <c r="D2" s="105"/>
      <c r="E2" s="105"/>
      <c r="F2" s="104"/>
      <c r="G2" s="105"/>
      <c r="H2" s="105"/>
      <c r="I2" s="64"/>
      <c r="J2" s="69" t="s">
        <v>0</v>
      </c>
      <c r="K2" s="106" t="s">
        <v>44</v>
      </c>
      <c r="L2" s="107"/>
      <c r="M2" s="107"/>
      <c r="N2" s="107"/>
      <c r="O2" s="107"/>
      <c r="P2" s="107"/>
      <c r="Q2" s="107"/>
      <c r="S2" s="102"/>
      <c r="T2" s="102"/>
      <c r="U2" s="67"/>
      <c r="V2" s="102"/>
      <c r="W2" s="102"/>
    </row>
    <row r="3" spans="1:23" ht="15" customHeight="1">
      <c r="A3" s="14" t="s">
        <v>3</v>
      </c>
      <c r="B3" s="70" t="s">
        <v>47</v>
      </c>
      <c r="C3" s="9" t="s">
        <v>50</v>
      </c>
      <c r="D3" s="70" t="s">
        <v>48</v>
      </c>
      <c r="E3" s="5" t="s">
        <v>1</v>
      </c>
      <c r="F3" s="5" t="s">
        <v>2</v>
      </c>
      <c r="G3" s="5" t="s">
        <v>15</v>
      </c>
      <c r="H3" s="5" t="s">
        <v>49</v>
      </c>
      <c r="I3" s="64"/>
      <c r="J3" s="14" t="s">
        <v>3</v>
      </c>
      <c r="K3" s="70" t="s">
        <v>47</v>
      </c>
      <c r="L3" s="9" t="s">
        <v>50</v>
      </c>
      <c r="M3" s="70" t="s">
        <v>48</v>
      </c>
      <c r="N3" s="5" t="s">
        <v>1</v>
      </c>
      <c r="O3" s="1" t="s">
        <v>2</v>
      </c>
      <c r="P3" s="5" t="s">
        <v>15</v>
      </c>
      <c r="Q3" s="5" t="s">
        <v>49</v>
      </c>
      <c r="S3" s="103" t="s">
        <v>41</v>
      </c>
      <c r="T3" s="103"/>
      <c r="U3" s="68"/>
      <c r="V3" s="103" t="s">
        <v>42</v>
      </c>
      <c r="W3" s="103"/>
    </row>
    <row r="4" spans="1:23" ht="17.100000000000001" customHeight="1">
      <c r="A4" s="10">
        <v>0</v>
      </c>
      <c r="B4" s="77"/>
      <c r="C4" s="77"/>
      <c r="D4" s="61" t="e">
        <f>B4/C4</f>
        <v>#DIV/0!</v>
      </c>
      <c r="E4" s="3"/>
      <c r="F4" s="3"/>
      <c r="G4" s="3"/>
      <c r="H4" s="3"/>
      <c r="I4" s="63"/>
      <c r="J4" s="10">
        <v>0</v>
      </c>
      <c r="K4" s="77"/>
      <c r="L4" s="77"/>
      <c r="M4" s="61" t="e">
        <f t="shared" ref="M4:M15" si="0">K4/L4</f>
        <v>#DIV/0!</v>
      </c>
      <c r="N4" s="3"/>
      <c r="O4" s="3"/>
      <c r="P4" s="3"/>
      <c r="Q4" s="3"/>
      <c r="S4" s="2"/>
      <c r="T4" s="2"/>
      <c r="U4" s="2"/>
      <c r="V4" s="2"/>
      <c r="W4" s="2"/>
    </row>
    <row r="5" spans="1:23" ht="14.45" customHeight="1">
      <c r="A5" s="10">
        <v>5</v>
      </c>
      <c r="B5" s="77"/>
      <c r="C5" s="77"/>
      <c r="D5" s="61" t="e">
        <f>B5/C5</f>
        <v>#DIV/0!</v>
      </c>
      <c r="E5" s="3"/>
      <c r="F5" s="3"/>
      <c r="G5" s="3"/>
      <c r="H5" s="3"/>
      <c r="I5" s="63"/>
      <c r="J5" s="10">
        <v>5</v>
      </c>
      <c r="K5" s="77"/>
      <c r="L5" s="77"/>
      <c r="M5" s="61" t="e">
        <f t="shared" si="0"/>
        <v>#DIV/0!</v>
      </c>
      <c r="N5" s="3"/>
      <c r="O5" s="3"/>
      <c r="P5" s="3"/>
      <c r="Q5" s="3"/>
      <c r="S5" s="2"/>
      <c r="T5" s="2"/>
      <c r="U5" s="2"/>
      <c r="V5" s="2"/>
      <c r="W5" s="2"/>
    </row>
    <row r="6" spans="1:23" ht="14.45" customHeight="1">
      <c r="A6" s="10">
        <v>10</v>
      </c>
      <c r="B6" s="77"/>
      <c r="C6" s="77"/>
      <c r="D6" s="61" t="e">
        <f t="shared" ref="D6:D15" si="1">B6/C6</f>
        <v>#DIV/0!</v>
      </c>
      <c r="E6" s="3"/>
      <c r="F6" s="3"/>
      <c r="G6" s="3"/>
      <c r="H6" s="3"/>
      <c r="I6" s="63"/>
      <c r="J6" s="10">
        <v>10</v>
      </c>
      <c r="K6" s="77"/>
      <c r="L6" s="77"/>
      <c r="M6" s="61" t="e">
        <f t="shared" si="0"/>
        <v>#DIV/0!</v>
      </c>
      <c r="N6" s="3"/>
      <c r="O6" s="3"/>
      <c r="P6" s="3"/>
      <c r="Q6" s="3"/>
      <c r="S6" s="2"/>
      <c r="T6" s="2"/>
      <c r="U6" s="2"/>
      <c r="V6" s="2"/>
      <c r="W6" s="2"/>
    </row>
    <row r="7" spans="1:23" ht="14.45" customHeight="1">
      <c r="A7" s="10">
        <v>15</v>
      </c>
      <c r="B7" s="77"/>
      <c r="C7" s="77"/>
      <c r="D7" s="61" t="e">
        <f t="shared" si="1"/>
        <v>#DIV/0!</v>
      </c>
      <c r="E7" s="59" t="e">
        <f t="shared" ref="E7:E15" si="2">1-5*D7/(1+2.5*D7)</f>
        <v>#DIV/0!</v>
      </c>
      <c r="F7" s="59" t="e">
        <f>PRODUCT(E$7:E7)</f>
        <v>#DIV/0!</v>
      </c>
      <c r="G7" s="59" t="e">
        <f>-0.5*LN(F7/(1-F7))</f>
        <v>#DIV/0!</v>
      </c>
      <c r="H7" s="59" t="e">
        <f>$G$16+$G$17*Modèles!$E24</f>
        <v>#DIV/0!</v>
      </c>
      <c r="I7" s="63"/>
      <c r="J7" s="10">
        <v>15</v>
      </c>
      <c r="K7" s="77"/>
      <c r="L7" s="77"/>
      <c r="M7" s="61" t="e">
        <f t="shared" si="0"/>
        <v>#DIV/0!</v>
      </c>
      <c r="N7" s="59" t="e">
        <f t="shared" ref="N7:N15" si="3">1-5*M7/(1+2.5*M7)</f>
        <v>#DIV/0!</v>
      </c>
      <c r="O7" s="59" t="e">
        <f>PRODUCT(N$7:N7)</f>
        <v>#DIV/0!</v>
      </c>
      <c r="P7" s="59" t="e">
        <f>-0.5*LN(O7/(1-O7))</f>
        <v>#DIV/0!</v>
      </c>
      <c r="Q7" s="59" t="e">
        <f>P$16+P$17*Modèles!$E24</f>
        <v>#DIV/0!</v>
      </c>
      <c r="S7" s="24" t="e">
        <f>(1-E7)^2/(E7*B7)</f>
        <v>#DIV/0!</v>
      </c>
      <c r="T7" s="24" t="e">
        <f>SQRT(SUM($S$7:S7)*F7^2)</f>
        <v>#DIV/0!</v>
      </c>
      <c r="U7" s="2"/>
      <c r="V7" s="24" t="e">
        <f t="shared" ref="V7:V15" si="4">(1-N7)^2/(N7*K7)</f>
        <v>#DIV/0!</v>
      </c>
      <c r="W7" s="24" t="e">
        <f>SQRT(SUM($V$7:V7)*O7^2)</f>
        <v>#DIV/0!</v>
      </c>
    </row>
    <row r="8" spans="1:23" ht="14.45" customHeight="1">
      <c r="A8" s="10">
        <v>20</v>
      </c>
      <c r="B8" s="77"/>
      <c r="C8" s="77"/>
      <c r="D8" s="61" t="e">
        <f t="shared" si="1"/>
        <v>#DIV/0!</v>
      </c>
      <c r="E8" s="59" t="e">
        <f t="shared" si="2"/>
        <v>#DIV/0!</v>
      </c>
      <c r="F8" s="59" t="e">
        <f>PRODUCT(E$7:E8)</f>
        <v>#DIV/0!</v>
      </c>
      <c r="G8" s="59" t="e">
        <f t="shared" ref="G8:G15" si="5">-0.5*LN(F8/(1-F8))</f>
        <v>#DIV/0!</v>
      </c>
      <c r="H8" s="59" t="e">
        <f>$G$16+$G$17*Modèles!$E25</f>
        <v>#DIV/0!</v>
      </c>
      <c r="I8" s="63"/>
      <c r="J8" s="10">
        <v>20</v>
      </c>
      <c r="K8" s="77"/>
      <c r="L8" s="77"/>
      <c r="M8" s="61" t="e">
        <f t="shared" si="0"/>
        <v>#DIV/0!</v>
      </c>
      <c r="N8" s="59" t="e">
        <f t="shared" si="3"/>
        <v>#DIV/0!</v>
      </c>
      <c r="O8" s="59" t="e">
        <f>PRODUCT(N$7:N8)</f>
        <v>#DIV/0!</v>
      </c>
      <c r="P8" s="59" t="e">
        <f t="shared" ref="P8:P15" si="6">-0.5*LN(O8/(1-O8))</f>
        <v>#DIV/0!</v>
      </c>
      <c r="Q8" s="59" t="e">
        <f>P$16+P$17*Modèles!$E25</f>
        <v>#DIV/0!</v>
      </c>
      <c r="S8" s="24" t="e">
        <f t="shared" ref="S8:S14" si="7">(1-E8)^2/(E8*B8)</f>
        <v>#DIV/0!</v>
      </c>
      <c r="T8" s="24" t="e">
        <f>SQRT(SUM($S$7:S8)*F8^2)</f>
        <v>#DIV/0!</v>
      </c>
      <c r="U8" s="2"/>
      <c r="V8" s="24" t="e">
        <f t="shared" si="4"/>
        <v>#DIV/0!</v>
      </c>
      <c r="W8" s="24" t="e">
        <f>SQRT(SUM($V$7:V8)*O8^2)</f>
        <v>#DIV/0!</v>
      </c>
    </row>
    <row r="9" spans="1:23" ht="14.45" customHeight="1">
      <c r="A9" s="10">
        <v>25</v>
      </c>
      <c r="B9" s="77"/>
      <c r="C9" s="77"/>
      <c r="D9" s="61" t="e">
        <f t="shared" si="1"/>
        <v>#DIV/0!</v>
      </c>
      <c r="E9" s="59" t="e">
        <f t="shared" si="2"/>
        <v>#DIV/0!</v>
      </c>
      <c r="F9" s="59" t="e">
        <f>PRODUCT(E$7:E9)</f>
        <v>#DIV/0!</v>
      </c>
      <c r="G9" s="59" t="e">
        <f t="shared" si="5"/>
        <v>#DIV/0!</v>
      </c>
      <c r="H9" s="59" t="e">
        <f>$G$16+$G$17*Modèles!$E26</f>
        <v>#DIV/0!</v>
      </c>
      <c r="I9" s="63"/>
      <c r="J9" s="10">
        <v>25</v>
      </c>
      <c r="K9" s="77"/>
      <c r="L9" s="77"/>
      <c r="M9" s="61" t="e">
        <f t="shared" si="0"/>
        <v>#DIV/0!</v>
      </c>
      <c r="N9" s="59" t="e">
        <f t="shared" si="3"/>
        <v>#DIV/0!</v>
      </c>
      <c r="O9" s="59" t="e">
        <f>PRODUCT(N$7:N9)</f>
        <v>#DIV/0!</v>
      </c>
      <c r="P9" s="59" t="e">
        <f t="shared" si="6"/>
        <v>#DIV/0!</v>
      </c>
      <c r="Q9" s="59" t="e">
        <f>P$16+P$17*Modèles!$E26</f>
        <v>#DIV/0!</v>
      </c>
      <c r="S9" s="24" t="e">
        <f t="shared" si="7"/>
        <v>#DIV/0!</v>
      </c>
      <c r="T9" s="24" t="e">
        <f>SQRT(SUM($S$7:S9)*F9^2)</f>
        <v>#DIV/0!</v>
      </c>
      <c r="U9" s="2"/>
      <c r="V9" s="24" t="e">
        <f t="shared" si="4"/>
        <v>#DIV/0!</v>
      </c>
      <c r="W9" s="24" t="e">
        <f>SQRT(SUM($V$7:V9)*O9^2)</f>
        <v>#DIV/0!</v>
      </c>
    </row>
    <row r="10" spans="1:23" ht="14.45" customHeight="1">
      <c r="A10" s="10">
        <v>30</v>
      </c>
      <c r="B10" s="77"/>
      <c r="C10" s="77"/>
      <c r="D10" s="61" t="e">
        <f t="shared" si="1"/>
        <v>#DIV/0!</v>
      </c>
      <c r="E10" s="59" t="e">
        <f t="shared" si="2"/>
        <v>#DIV/0!</v>
      </c>
      <c r="F10" s="59" t="e">
        <f>PRODUCT(E$7:E10)</f>
        <v>#DIV/0!</v>
      </c>
      <c r="G10" s="59" t="e">
        <f t="shared" si="5"/>
        <v>#DIV/0!</v>
      </c>
      <c r="H10" s="59" t="e">
        <f>$G$16+$G$17*Modèles!$E27</f>
        <v>#DIV/0!</v>
      </c>
      <c r="I10" s="63"/>
      <c r="J10" s="10">
        <v>30</v>
      </c>
      <c r="K10" s="77"/>
      <c r="L10" s="77"/>
      <c r="M10" s="61" t="e">
        <f t="shared" si="0"/>
        <v>#DIV/0!</v>
      </c>
      <c r="N10" s="59" t="e">
        <f t="shared" si="3"/>
        <v>#DIV/0!</v>
      </c>
      <c r="O10" s="59" t="e">
        <f>PRODUCT(N$7:N10)</f>
        <v>#DIV/0!</v>
      </c>
      <c r="P10" s="59" t="e">
        <f t="shared" si="6"/>
        <v>#DIV/0!</v>
      </c>
      <c r="Q10" s="59" t="e">
        <f>P$16+P$17*Modèles!$E27</f>
        <v>#DIV/0!</v>
      </c>
      <c r="S10" s="24" t="e">
        <f t="shared" si="7"/>
        <v>#DIV/0!</v>
      </c>
      <c r="T10" s="24" t="e">
        <f>SQRT(SUM($S$7:S10)*F10^2)</f>
        <v>#DIV/0!</v>
      </c>
      <c r="U10" s="2"/>
      <c r="V10" s="24" t="e">
        <f t="shared" si="4"/>
        <v>#DIV/0!</v>
      </c>
      <c r="W10" s="24" t="e">
        <f>SQRT(SUM($V$7:V10)*O10^2)</f>
        <v>#DIV/0!</v>
      </c>
    </row>
    <row r="11" spans="1:23" ht="14.45" customHeight="1">
      <c r="A11" s="10">
        <v>35</v>
      </c>
      <c r="B11" s="77"/>
      <c r="C11" s="77"/>
      <c r="D11" s="61" t="e">
        <f t="shared" si="1"/>
        <v>#DIV/0!</v>
      </c>
      <c r="E11" s="59" t="e">
        <f t="shared" si="2"/>
        <v>#DIV/0!</v>
      </c>
      <c r="F11" s="59" t="e">
        <f>PRODUCT(E$7:E11)</f>
        <v>#DIV/0!</v>
      </c>
      <c r="G11" s="59" t="e">
        <f t="shared" si="5"/>
        <v>#DIV/0!</v>
      </c>
      <c r="H11" s="59" t="e">
        <f>$G$16+$G$17*Modèles!$E28</f>
        <v>#DIV/0!</v>
      </c>
      <c r="I11" s="63"/>
      <c r="J11" s="10">
        <v>35</v>
      </c>
      <c r="K11" s="77"/>
      <c r="L11" s="77"/>
      <c r="M11" s="61" t="e">
        <f t="shared" si="0"/>
        <v>#DIV/0!</v>
      </c>
      <c r="N11" s="59" t="e">
        <f t="shared" si="3"/>
        <v>#DIV/0!</v>
      </c>
      <c r="O11" s="59" t="e">
        <f>PRODUCT(N$7:N11)</f>
        <v>#DIV/0!</v>
      </c>
      <c r="P11" s="59" t="e">
        <f t="shared" si="6"/>
        <v>#DIV/0!</v>
      </c>
      <c r="Q11" s="59" t="e">
        <f>P$16+P$17*Modèles!$E28</f>
        <v>#DIV/0!</v>
      </c>
      <c r="S11" s="24" t="e">
        <f t="shared" si="7"/>
        <v>#DIV/0!</v>
      </c>
      <c r="T11" s="24" t="e">
        <f>SQRT(SUM($S$7:S11)*F11^2)</f>
        <v>#DIV/0!</v>
      </c>
      <c r="U11" s="2"/>
      <c r="V11" s="24" t="e">
        <f t="shared" si="4"/>
        <v>#DIV/0!</v>
      </c>
      <c r="W11" s="24" t="e">
        <f>SQRT(SUM($V$7:V11)*O11^2)</f>
        <v>#DIV/0!</v>
      </c>
    </row>
    <row r="12" spans="1:23" ht="14.45" customHeight="1">
      <c r="A12" s="10">
        <v>40</v>
      </c>
      <c r="B12" s="77"/>
      <c r="C12" s="77"/>
      <c r="D12" s="61" t="e">
        <f t="shared" si="1"/>
        <v>#DIV/0!</v>
      </c>
      <c r="E12" s="59" t="e">
        <f t="shared" si="2"/>
        <v>#DIV/0!</v>
      </c>
      <c r="F12" s="59" t="e">
        <f>PRODUCT(E$7:E12)</f>
        <v>#DIV/0!</v>
      </c>
      <c r="G12" s="59" t="e">
        <f t="shared" si="5"/>
        <v>#DIV/0!</v>
      </c>
      <c r="H12" s="59" t="e">
        <f>$G$16+$G$17*Modèles!$E29</f>
        <v>#DIV/0!</v>
      </c>
      <c r="I12" s="63"/>
      <c r="J12" s="10">
        <v>40</v>
      </c>
      <c r="K12" s="77"/>
      <c r="L12" s="77"/>
      <c r="M12" s="61" t="e">
        <f t="shared" si="0"/>
        <v>#DIV/0!</v>
      </c>
      <c r="N12" s="59" t="e">
        <f t="shared" si="3"/>
        <v>#DIV/0!</v>
      </c>
      <c r="O12" s="59" t="e">
        <f>PRODUCT(N$7:N12)</f>
        <v>#DIV/0!</v>
      </c>
      <c r="P12" s="59" t="e">
        <f t="shared" si="6"/>
        <v>#DIV/0!</v>
      </c>
      <c r="Q12" s="59" t="e">
        <f>P$16+P$17*Modèles!$E29</f>
        <v>#DIV/0!</v>
      </c>
      <c r="S12" s="24" t="e">
        <f t="shared" si="7"/>
        <v>#DIV/0!</v>
      </c>
      <c r="T12" s="24" t="e">
        <f>SQRT(SUM($S$7:S12)*F12^2)</f>
        <v>#DIV/0!</v>
      </c>
      <c r="U12" s="2"/>
      <c r="V12" s="24" t="e">
        <f t="shared" si="4"/>
        <v>#DIV/0!</v>
      </c>
      <c r="W12" s="24" t="e">
        <f>SQRT(SUM($V$7:V12)*O12^2)</f>
        <v>#DIV/0!</v>
      </c>
    </row>
    <row r="13" spans="1:23" ht="14.45" customHeight="1">
      <c r="A13" s="10">
        <v>45</v>
      </c>
      <c r="B13" s="77"/>
      <c r="C13" s="77"/>
      <c r="D13" s="61" t="e">
        <f t="shared" si="1"/>
        <v>#DIV/0!</v>
      </c>
      <c r="E13" s="59" t="e">
        <f t="shared" si="2"/>
        <v>#DIV/0!</v>
      </c>
      <c r="F13" s="59" t="e">
        <f>PRODUCT(E$7:E13)</f>
        <v>#DIV/0!</v>
      </c>
      <c r="G13" s="59" t="e">
        <f t="shared" si="5"/>
        <v>#DIV/0!</v>
      </c>
      <c r="H13" s="59" t="e">
        <f>$G$16+$G$17*Modèles!$E30</f>
        <v>#DIV/0!</v>
      </c>
      <c r="I13" s="63"/>
      <c r="J13" s="10">
        <v>45</v>
      </c>
      <c r="K13" s="77"/>
      <c r="L13" s="77"/>
      <c r="M13" s="61" t="e">
        <f t="shared" si="0"/>
        <v>#DIV/0!</v>
      </c>
      <c r="N13" s="59" t="e">
        <f t="shared" si="3"/>
        <v>#DIV/0!</v>
      </c>
      <c r="O13" s="59" t="e">
        <f>PRODUCT(N$7:N13)</f>
        <v>#DIV/0!</v>
      </c>
      <c r="P13" s="59" t="e">
        <f t="shared" si="6"/>
        <v>#DIV/0!</v>
      </c>
      <c r="Q13" s="59" t="e">
        <f>P$16+P$17*Modèles!$E30</f>
        <v>#DIV/0!</v>
      </c>
      <c r="S13" s="24" t="e">
        <f t="shared" si="7"/>
        <v>#DIV/0!</v>
      </c>
      <c r="T13" s="24" t="e">
        <f>SQRT(SUM($S$7:S13)*F13^2)</f>
        <v>#DIV/0!</v>
      </c>
      <c r="U13" s="2"/>
      <c r="V13" s="24" t="e">
        <f t="shared" si="4"/>
        <v>#DIV/0!</v>
      </c>
      <c r="W13" s="24" t="e">
        <f>SQRT(SUM($V$7:V13)*O13^2)</f>
        <v>#DIV/0!</v>
      </c>
    </row>
    <row r="14" spans="1:23" ht="14.45" customHeight="1">
      <c r="A14" s="10">
        <v>50</v>
      </c>
      <c r="B14" s="77"/>
      <c r="C14" s="77"/>
      <c r="D14" s="61" t="e">
        <f t="shared" si="1"/>
        <v>#DIV/0!</v>
      </c>
      <c r="E14" s="59" t="e">
        <f t="shared" si="2"/>
        <v>#DIV/0!</v>
      </c>
      <c r="F14" s="59" t="e">
        <f>PRODUCT(E$7:E14)</f>
        <v>#DIV/0!</v>
      </c>
      <c r="G14" s="59" t="e">
        <f t="shared" si="5"/>
        <v>#DIV/0!</v>
      </c>
      <c r="H14" s="59" t="e">
        <f>$G$16+$G$17*Modèles!$E31</f>
        <v>#DIV/0!</v>
      </c>
      <c r="I14" s="63"/>
      <c r="J14" s="10">
        <v>50</v>
      </c>
      <c r="K14" s="77"/>
      <c r="L14" s="77"/>
      <c r="M14" s="61" t="e">
        <f t="shared" si="0"/>
        <v>#DIV/0!</v>
      </c>
      <c r="N14" s="59" t="e">
        <f t="shared" si="3"/>
        <v>#DIV/0!</v>
      </c>
      <c r="O14" s="59" t="e">
        <f>PRODUCT(N$7:N14)</f>
        <v>#DIV/0!</v>
      </c>
      <c r="P14" s="59" t="e">
        <f t="shared" si="6"/>
        <v>#DIV/0!</v>
      </c>
      <c r="Q14" s="59" t="e">
        <f>P$16+P$17*Modèles!$E31</f>
        <v>#DIV/0!</v>
      </c>
      <c r="S14" s="24" t="e">
        <f t="shared" si="7"/>
        <v>#DIV/0!</v>
      </c>
      <c r="T14" s="24" t="e">
        <f>SQRT(SUM($S$7:S14)*F14^2)</f>
        <v>#DIV/0!</v>
      </c>
      <c r="U14" s="2"/>
      <c r="V14" s="24" t="e">
        <f t="shared" si="4"/>
        <v>#DIV/0!</v>
      </c>
      <c r="W14" s="24" t="e">
        <f>SQRT(SUM($V$7:V14)*O14^2)</f>
        <v>#DIV/0!</v>
      </c>
    </row>
    <row r="15" spans="1:23" ht="14.45" customHeight="1">
      <c r="A15" s="11">
        <v>55</v>
      </c>
      <c r="B15" s="77"/>
      <c r="C15" s="77"/>
      <c r="D15" s="61" t="e">
        <f t="shared" si="1"/>
        <v>#DIV/0!</v>
      </c>
      <c r="E15" s="60" t="e">
        <f t="shared" si="2"/>
        <v>#DIV/0!</v>
      </c>
      <c r="F15" s="60" t="e">
        <f>PRODUCT(E$7:E15)</f>
        <v>#DIV/0!</v>
      </c>
      <c r="G15" s="60" t="e">
        <f t="shared" si="5"/>
        <v>#DIV/0!</v>
      </c>
      <c r="H15" s="60" t="e">
        <f>$G$16+$G$17*Modèles!$E32</f>
        <v>#DIV/0!</v>
      </c>
      <c r="I15" s="63"/>
      <c r="J15" s="11">
        <v>55</v>
      </c>
      <c r="K15" s="77"/>
      <c r="L15" s="77"/>
      <c r="M15" s="61" t="e">
        <f t="shared" si="0"/>
        <v>#DIV/0!</v>
      </c>
      <c r="N15" s="60" t="e">
        <f t="shared" si="3"/>
        <v>#DIV/0!</v>
      </c>
      <c r="O15" s="60" t="e">
        <f>PRODUCT(N$7:N15)</f>
        <v>#DIV/0!</v>
      </c>
      <c r="P15" s="60" t="e">
        <f t="shared" si="6"/>
        <v>#DIV/0!</v>
      </c>
      <c r="Q15" s="60" t="e">
        <f>P$16+P$17*Modèles!$E32</f>
        <v>#DIV/0!</v>
      </c>
      <c r="S15" s="25" t="e">
        <f>(1-E15)^2/(E15*B15)</f>
        <v>#DIV/0!</v>
      </c>
      <c r="T15" s="25" t="e">
        <f>SQRT(SUM($S$7:S15)*F15^2)</f>
        <v>#DIV/0!</v>
      </c>
      <c r="U15" s="6"/>
      <c r="V15" s="25" t="e">
        <f t="shared" si="4"/>
        <v>#DIV/0!</v>
      </c>
      <c r="W15" s="25" t="e">
        <f>SQRT(SUM($V$7:V15)*O15^2)</f>
        <v>#DIV/0!</v>
      </c>
    </row>
    <row r="16" spans="1:23" ht="14.45" customHeight="1">
      <c r="A16" s="20" t="s">
        <v>8</v>
      </c>
      <c r="B16" s="2"/>
      <c r="D16" s="78" t="e">
        <f>1-F13</f>
        <v>#DIV/0!</v>
      </c>
      <c r="E16" s="79" t="e">
        <f>D16-1.96*T13</f>
        <v>#DIV/0!</v>
      </c>
      <c r="F16" s="80" t="e">
        <f>D16+1.96*T13</f>
        <v>#DIV/0!</v>
      </c>
      <c r="G16" s="73" t="e">
        <f>INTERCEPT(G7:G14,Modèles!$E$24:$E$31)</f>
        <v>#DIV/0!</v>
      </c>
      <c r="H16" s="78" t="e">
        <f>1-1/(1+EXP(2*H13))</f>
        <v>#DIV/0!</v>
      </c>
      <c r="J16" s="20" t="s">
        <v>8</v>
      </c>
      <c r="K16" s="2"/>
      <c r="L16" s="2"/>
      <c r="M16" s="78" t="e">
        <f>1-O13</f>
        <v>#DIV/0!</v>
      </c>
      <c r="N16" s="79" t="e">
        <f>M16-1.96*W13</f>
        <v>#DIV/0!</v>
      </c>
      <c r="O16" s="80" t="e">
        <f>M16+1.96*W13</f>
        <v>#DIV/0!</v>
      </c>
      <c r="P16" s="73" t="e">
        <f>INTERCEPT(P7:P14,Modèles!$E$24:$E$31)</f>
        <v>#DIV/0!</v>
      </c>
      <c r="Q16" s="78" t="e">
        <f>1-1/(1+EXP(2*Q13))</f>
        <v>#DIV/0!</v>
      </c>
      <c r="S16" s="2"/>
      <c r="T16" s="2"/>
      <c r="U16" s="2"/>
      <c r="V16" s="2"/>
      <c r="W16" s="2"/>
    </row>
    <row r="17" spans="1:23" ht="17.100000000000001" customHeight="1">
      <c r="A17" s="21" t="s">
        <v>9</v>
      </c>
      <c r="B17" s="4"/>
      <c r="C17" s="4"/>
      <c r="D17" s="81" t="e">
        <f>1-F15</f>
        <v>#DIV/0!</v>
      </c>
      <c r="E17" s="82" t="e">
        <f>D17-1.96*T15</f>
        <v>#DIV/0!</v>
      </c>
      <c r="F17" s="83" t="e">
        <f>D17+1.96*T15</f>
        <v>#DIV/0!</v>
      </c>
      <c r="G17" s="74" t="e">
        <f>SLOPE(G7:G14,Modèles!$E$24:$E$31)</f>
        <v>#DIV/0!</v>
      </c>
      <c r="H17" s="81" t="e">
        <f>1-1/(1+EXP(2*H15))</f>
        <v>#DIV/0!</v>
      </c>
      <c r="J17" s="21" t="s">
        <v>9</v>
      </c>
      <c r="K17" s="4"/>
      <c r="L17" s="4"/>
      <c r="M17" s="81" t="e">
        <f>1-O15</f>
        <v>#DIV/0!</v>
      </c>
      <c r="N17" s="82" t="e">
        <f>M17-1.96*W15</f>
        <v>#DIV/0!</v>
      </c>
      <c r="O17" s="83" t="e">
        <f>M17+1.96*W15</f>
        <v>#DIV/0!</v>
      </c>
      <c r="P17" s="74" t="e">
        <f>SLOPE(P7:P14,Modèles!$E$24:$E$31)</f>
        <v>#DIV/0!</v>
      </c>
      <c r="Q17" s="81" t="e">
        <f>1-1/(1+EXP(2*Q15))</f>
        <v>#DIV/0!</v>
      </c>
      <c r="R17" s="50"/>
      <c r="S17" s="4"/>
      <c r="T17" s="4"/>
      <c r="U17" s="4"/>
      <c r="V17" s="4"/>
      <c r="W17" s="4"/>
    </row>
    <row r="18" spans="1:23" ht="6" customHeight="1">
      <c r="A18" s="52"/>
      <c r="B18" s="53"/>
      <c r="C18" s="53"/>
      <c r="D18" s="54"/>
      <c r="E18" s="55"/>
      <c r="F18" s="56"/>
      <c r="G18" s="54"/>
      <c r="H18" s="54"/>
      <c r="J18" s="52"/>
      <c r="K18" s="53"/>
      <c r="L18" s="53"/>
      <c r="M18" s="54"/>
      <c r="N18" s="55"/>
      <c r="O18" s="56"/>
      <c r="P18" s="54"/>
      <c r="Q18" s="54"/>
      <c r="R18" s="50"/>
      <c r="S18" s="53"/>
      <c r="T18" s="53"/>
      <c r="U18" s="53"/>
      <c r="V18" s="53"/>
      <c r="W18" s="53"/>
    </row>
    <row r="19" spans="1:23" s="53" customFormat="1" ht="12.75" customHeight="1">
      <c r="A19" s="13"/>
      <c r="B19"/>
      <c r="C19"/>
      <c r="D19"/>
      <c r="E19"/>
      <c r="F19"/>
      <c r="G19"/>
      <c r="H19" s="84">
        <f>YEAR(Introduction!D12)+YEARFRAC(DATE(YEAR(Introduction!D12),1,1),Introduction!D12,1)-Introduction!D13-Introduction!D14/2</f>
        <v>1996.2246575342465</v>
      </c>
      <c r="J19" s="13"/>
      <c r="K19"/>
      <c r="L19"/>
      <c r="M19"/>
      <c r="N19"/>
      <c r="O19"/>
      <c r="P19"/>
      <c r="Q19" s="84">
        <f>H19</f>
        <v>1996.2246575342465</v>
      </c>
      <c r="R19" s="57"/>
      <c r="S19"/>
      <c r="T19"/>
      <c r="U19"/>
      <c r="V19"/>
      <c r="W19"/>
    </row>
    <row r="20" spans="1:23" ht="15" customHeight="1">
      <c r="A20" s="69" t="s">
        <v>0</v>
      </c>
      <c r="B20" s="106" t="s">
        <v>45</v>
      </c>
      <c r="C20" s="106"/>
      <c r="D20" s="108"/>
      <c r="E20" s="108"/>
      <c r="F20" s="106"/>
      <c r="G20" s="108"/>
      <c r="H20" s="108"/>
      <c r="I20" s="64"/>
      <c r="J20" s="69" t="s">
        <v>0</v>
      </c>
      <c r="K20" s="106" t="s">
        <v>46</v>
      </c>
      <c r="L20" s="107"/>
      <c r="M20" s="107"/>
      <c r="N20" s="107"/>
      <c r="O20" s="107"/>
      <c r="P20" s="107"/>
      <c r="Q20" s="107"/>
      <c r="S20" s="102"/>
      <c r="T20" s="102"/>
      <c r="U20" s="67"/>
      <c r="V20" s="102"/>
      <c r="W20" s="102"/>
    </row>
    <row r="21" spans="1:23" ht="18">
      <c r="A21" s="14" t="s">
        <v>3</v>
      </c>
      <c r="B21" s="70" t="s">
        <v>47</v>
      </c>
      <c r="C21" s="9" t="s">
        <v>50</v>
      </c>
      <c r="D21" s="70" t="s">
        <v>48</v>
      </c>
      <c r="E21" s="5" t="s">
        <v>1</v>
      </c>
      <c r="F21" s="1" t="s">
        <v>2</v>
      </c>
      <c r="G21" s="5" t="s">
        <v>15</v>
      </c>
      <c r="H21" s="5" t="s">
        <v>49</v>
      </c>
      <c r="I21" s="64"/>
      <c r="J21" s="14" t="s">
        <v>3</v>
      </c>
      <c r="K21" s="70" t="s">
        <v>47</v>
      </c>
      <c r="L21" s="9" t="s">
        <v>50</v>
      </c>
      <c r="M21" s="70" t="s">
        <v>48</v>
      </c>
      <c r="N21" s="5" t="s">
        <v>1</v>
      </c>
      <c r="O21" s="1" t="s">
        <v>2</v>
      </c>
      <c r="P21" s="5" t="s">
        <v>15</v>
      </c>
      <c r="Q21" s="5" t="s">
        <v>49</v>
      </c>
      <c r="S21" s="103" t="s">
        <v>41</v>
      </c>
      <c r="T21" s="103"/>
      <c r="U21" s="68"/>
      <c r="V21" s="103" t="s">
        <v>42</v>
      </c>
      <c r="W21" s="103"/>
    </row>
    <row r="22" spans="1:23" ht="17.100000000000001" customHeight="1">
      <c r="A22" s="10">
        <v>0</v>
      </c>
      <c r="B22" s="77"/>
      <c r="C22" s="77"/>
      <c r="D22" s="61" t="e">
        <f t="shared" ref="D22:D31" si="8">B22/C22</f>
        <v>#DIV/0!</v>
      </c>
      <c r="E22" s="3"/>
      <c r="F22" s="3"/>
      <c r="G22" s="3"/>
      <c r="H22" s="3"/>
      <c r="I22" s="63"/>
      <c r="J22" s="10">
        <v>0</v>
      </c>
      <c r="K22" s="77"/>
      <c r="L22" s="77"/>
      <c r="M22" s="61" t="e">
        <f>K22/L22</f>
        <v>#DIV/0!</v>
      </c>
      <c r="N22" s="3"/>
      <c r="O22" s="3"/>
      <c r="P22" s="3"/>
      <c r="Q22" s="3"/>
      <c r="S22" s="2"/>
      <c r="T22" s="2"/>
      <c r="U22" s="2"/>
      <c r="V22" s="2"/>
      <c r="W22" s="2"/>
    </row>
    <row r="23" spans="1:23" ht="14.45" customHeight="1">
      <c r="A23" s="10">
        <v>5</v>
      </c>
      <c r="B23" s="77"/>
      <c r="C23" s="77"/>
      <c r="D23" s="61" t="e">
        <f t="shared" si="8"/>
        <v>#DIV/0!</v>
      </c>
      <c r="E23" s="3"/>
      <c r="F23" s="3"/>
      <c r="G23" s="3"/>
      <c r="H23" s="3"/>
      <c r="I23" s="63"/>
      <c r="J23" s="10">
        <v>5</v>
      </c>
      <c r="K23" s="77"/>
      <c r="L23" s="77"/>
      <c r="M23" s="61" t="e">
        <f t="shared" ref="M23:M33" si="9">K23/L23</f>
        <v>#DIV/0!</v>
      </c>
      <c r="N23" s="3"/>
      <c r="O23" s="3"/>
      <c r="P23" s="3"/>
      <c r="Q23" s="3"/>
      <c r="S23" s="2"/>
      <c r="T23" s="2"/>
      <c r="U23" s="2"/>
      <c r="V23" s="2"/>
      <c r="W23" s="2"/>
    </row>
    <row r="24" spans="1:23" ht="14.45" customHeight="1">
      <c r="A24" s="10">
        <v>10</v>
      </c>
      <c r="B24" s="77"/>
      <c r="C24" s="77"/>
      <c r="D24" s="61" t="e">
        <f t="shared" si="8"/>
        <v>#DIV/0!</v>
      </c>
      <c r="E24" s="3"/>
      <c r="F24" s="3"/>
      <c r="G24" s="3"/>
      <c r="H24" s="3"/>
      <c r="I24" s="63"/>
      <c r="J24" s="10">
        <v>10</v>
      </c>
      <c r="K24" s="77"/>
      <c r="L24" s="77"/>
      <c r="M24" s="61" t="e">
        <f t="shared" si="9"/>
        <v>#DIV/0!</v>
      </c>
      <c r="N24" s="3"/>
      <c r="O24" s="3"/>
      <c r="P24" s="3"/>
      <c r="Q24" s="3"/>
      <c r="S24" s="6"/>
      <c r="T24" s="6"/>
      <c r="U24" s="6"/>
      <c r="V24" s="6"/>
      <c r="W24" s="6"/>
    </row>
    <row r="25" spans="1:23" ht="14.45" customHeight="1">
      <c r="A25" s="10">
        <v>15</v>
      </c>
      <c r="B25" s="77"/>
      <c r="C25" s="77"/>
      <c r="D25" s="61" t="e">
        <f t="shared" si="8"/>
        <v>#DIV/0!</v>
      </c>
      <c r="E25" s="59" t="e">
        <f t="shared" ref="E25:E33" si="10">1-5*D25/(1+2.5*D25)</f>
        <v>#DIV/0!</v>
      </c>
      <c r="F25" s="59" t="e">
        <f>PRODUCT(E$25:E25)</f>
        <v>#DIV/0!</v>
      </c>
      <c r="G25" s="59" t="e">
        <f>-0.5*LN(F25/(1-F25))</f>
        <v>#DIV/0!</v>
      </c>
      <c r="H25" s="59" t="e">
        <f>G$34+G$35*Modèles!$E24</f>
        <v>#DIV/0!</v>
      </c>
      <c r="I25" s="63"/>
      <c r="J25" s="10">
        <v>15</v>
      </c>
      <c r="K25" s="77"/>
      <c r="L25" s="77"/>
      <c r="M25" s="61" t="e">
        <f t="shared" si="9"/>
        <v>#DIV/0!</v>
      </c>
      <c r="N25" s="59" t="e">
        <f t="shared" ref="N25:N33" si="11">1-5*M25/(1+2.5*M25)</f>
        <v>#DIV/0!</v>
      </c>
      <c r="O25" s="59" t="e">
        <f>PRODUCT(N$25:N25)</f>
        <v>#DIV/0!</v>
      </c>
      <c r="P25" s="59" t="e">
        <f>-0.5*LN(O25/(1-O25))</f>
        <v>#DIV/0!</v>
      </c>
      <c r="Q25" s="59" t="e">
        <f>P$34+P$35*Modèles!$E24</f>
        <v>#DIV/0!</v>
      </c>
      <c r="S25" s="25" t="e">
        <f>(1-E25)^2/(E25*B25)</f>
        <v>#DIV/0!</v>
      </c>
      <c r="T25" s="25" t="e">
        <f>SQRT(SUM($S$25:S25)*F25^2)</f>
        <v>#DIV/0!</v>
      </c>
      <c r="U25" s="6"/>
      <c r="V25" s="25" t="e">
        <f t="shared" ref="V25:V33" si="12">(1-N25)^2/(N25*K25)</f>
        <v>#DIV/0!</v>
      </c>
      <c r="W25" s="25" t="e">
        <f>SQRT(SUM($V$25:V25)*O25^2)</f>
        <v>#DIV/0!</v>
      </c>
    </row>
    <row r="26" spans="1:23" ht="14.45" customHeight="1">
      <c r="A26" s="10">
        <v>20</v>
      </c>
      <c r="B26" s="77"/>
      <c r="C26" s="77"/>
      <c r="D26" s="61" t="e">
        <f t="shared" si="8"/>
        <v>#DIV/0!</v>
      </c>
      <c r="E26" s="59" t="e">
        <f t="shared" si="10"/>
        <v>#DIV/0!</v>
      </c>
      <c r="F26" s="59" t="e">
        <f>PRODUCT(E$25:E26)</f>
        <v>#DIV/0!</v>
      </c>
      <c r="G26" s="59" t="e">
        <f t="shared" ref="G26:G33" si="13">-0.5*LN(F26/(1-F26))</f>
        <v>#DIV/0!</v>
      </c>
      <c r="H26" s="59" t="e">
        <f>G$34+G$35*Modèles!$E25</f>
        <v>#DIV/0!</v>
      </c>
      <c r="I26" s="63"/>
      <c r="J26" s="10">
        <v>20</v>
      </c>
      <c r="K26" s="77"/>
      <c r="L26" s="77"/>
      <c r="M26" s="61" t="e">
        <f t="shared" si="9"/>
        <v>#DIV/0!</v>
      </c>
      <c r="N26" s="59" t="e">
        <f t="shared" si="11"/>
        <v>#DIV/0!</v>
      </c>
      <c r="O26" s="59" t="e">
        <f>PRODUCT(N$25:N26)</f>
        <v>#DIV/0!</v>
      </c>
      <c r="P26" s="59" t="e">
        <f t="shared" ref="P26:P33" si="14">-0.5*LN(O26/(1-O26))</f>
        <v>#DIV/0!</v>
      </c>
      <c r="Q26" s="59" t="e">
        <f>P$34+P$35*Modèles!$E25</f>
        <v>#DIV/0!</v>
      </c>
      <c r="S26" s="25" t="e">
        <f t="shared" ref="S26:S32" si="15">(1-E26)^2/(E26*B26)</f>
        <v>#DIV/0!</v>
      </c>
      <c r="T26" s="25" t="e">
        <f>SQRT(SUM($S$25:S26)*F26^2)</f>
        <v>#DIV/0!</v>
      </c>
      <c r="U26" s="6"/>
      <c r="V26" s="25" t="e">
        <f t="shared" si="12"/>
        <v>#DIV/0!</v>
      </c>
      <c r="W26" s="25" t="e">
        <f>SQRT(SUM($V$25:V26)*O26^2)</f>
        <v>#DIV/0!</v>
      </c>
    </row>
    <row r="27" spans="1:23" ht="14.45" customHeight="1">
      <c r="A27" s="10">
        <v>25</v>
      </c>
      <c r="B27" s="77"/>
      <c r="C27" s="77"/>
      <c r="D27" s="61" t="e">
        <f t="shared" si="8"/>
        <v>#DIV/0!</v>
      </c>
      <c r="E27" s="59" t="e">
        <f t="shared" si="10"/>
        <v>#DIV/0!</v>
      </c>
      <c r="F27" s="59" t="e">
        <f>PRODUCT(E$25:E27)</f>
        <v>#DIV/0!</v>
      </c>
      <c r="G27" s="59" t="e">
        <f t="shared" si="13"/>
        <v>#DIV/0!</v>
      </c>
      <c r="H27" s="59" t="e">
        <f>G$34+G$35*Modèles!$E26</f>
        <v>#DIV/0!</v>
      </c>
      <c r="I27" s="63"/>
      <c r="J27" s="10">
        <v>25</v>
      </c>
      <c r="K27" s="77"/>
      <c r="L27" s="77"/>
      <c r="M27" s="61" t="e">
        <f t="shared" si="9"/>
        <v>#DIV/0!</v>
      </c>
      <c r="N27" s="59" t="e">
        <f t="shared" si="11"/>
        <v>#DIV/0!</v>
      </c>
      <c r="O27" s="59" t="e">
        <f>PRODUCT(N$25:N27)</f>
        <v>#DIV/0!</v>
      </c>
      <c r="P27" s="59" t="e">
        <f t="shared" si="14"/>
        <v>#DIV/0!</v>
      </c>
      <c r="Q27" s="59" t="e">
        <f>P$34+P$35*Modèles!$E26</f>
        <v>#DIV/0!</v>
      </c>
      <c r="S27" s="25" t="e">
        <f t="shared" si="15"/>
        <v>#DIV/0!</v>
      </c>
      <c r="T27" s="25" t="e">
        <f>SQRT(SUM($S$25:S27)*F27^2)</f>
        <v>#DIV/0!</v>
      </c>
      <c r="U27" s="6"/>
      <c r="V27" s="25" t="e">
        <f t="shared" si="12"/>
        <v>#DIV/0!</v>
      </c>
      <c r="W27" s="25" t="e">
        <f>SQRT(SUM($V$25:V27)*O27^2)</f>
        <v>#DIV/0!</v>
      </c>
    </row>
    <row r="28" spans="1:23" ht="14.45" customHeight="1">
      <c r="A28" s="10">
        <v>30</v>
      </c>
      <c r="B28" s="77"/>
      <c r="C28" s="77"/>
      <c r="D28" s="61" t="e">
        <f t="shared" si="8"/>
        <v>#DIV/0!</v>
      </c>
      <c r="E28" s="59" t="e">
        <f t="shared" si="10"/>
        <v>#DIV/0!</v>
      </c>
      <c r="F28" s="59" t="e">
        <f>PRODUCT(E$25:E28)</f>
        <v>#DIV/0!</v>
      </c>
      <c r="G28" s="59" t="e">
        <f t="shared" si="13"/>
        <v>#DIV/0!</v>
      </c>
      <c r="H28" s="59" t="e">
        <f>G$34+G$35*Modèles!$E27</f>
        <v>#DIV/0!</v>
      </c>
      <c r="I28" s="63"/>
      <c r="J28" s="10">
        <v>30</v>
      </c>
      <c r="K28" s="77"/>
      <c r="L28" s="77"/>
      <c r="M28" s="61" t="e">
        <f t="shared" si="9"/>
        <v>#DIV/0!</v>
      </c>
      <c r="N28" s="59" t="e">
        <f t="shared" si="11"/>
        <v>#DIV/0!</v>
      </c>
      <c r="O28" s="59" t="e">
        <f>PRODUCT(N$25:N28)</f>
        <v>#DIV/0!</v>
      </c>
      <c r="P28" s="59" t="e">
        <f t="shared" si="14"/>
        <v>#DIV/0!</v>
      </c>
      <c r="Q28" s="59" t="e">
        <f>P$34+P$35*Modèles!$E27</f>
        <v>#DIV/0!</v>
      </c>
      <c r="S28" s="25" t="e">
        <f t="shared" si="15"/>
        <v>#DIV/0!</v>
      </c>
      <c r="T28" s="25" t="e">
        <f>SQRT(SUM($S$25:S28)*F28^2)</f>
        <v>#DIV/0!</v>
      </c>
      <c r="U28" s="6"/>
      <c r="V28" s="25" t="e">
        <f t="shared" si="12"/>
        <v>#DIV/0!</v>
      </c>
      <c r="W28" s="25" t="e">
        <f>SQRT(SUM($V$25:V28)*O28^2)</f>
        <v>#DIV/0!</v>
      </c>
    </row>
    <row r="29" spans="1:23" ht="14.45" customHeight="1">
      <c r="A29" s="10">
        <v>35</v>
      </c>
      <c r="B29" s="77"/>
      <c r="C29" s="77"/>
      <c r="D29" s="61" t="e">
        <f t="shared" si="8"/>
        <v>#DIV/0!</v>
      </c>
      <c r="E29" s="59" t="e">
        <f t="shared" si="10"/>
        <v>#DIV/0!</v>
      </c>
      <c r="F29" s="59" t="e">
        <f>PRODUCT(E$25:E29)</f>
        <v>#DIV/0!</v>
      </c>
      <c r="G29" s="59" t="e">
        <f t="shared" si="13"/>
        <v>#DIV/0!</v>
      </c>
      <c r="H29" s="59" t="e">
        <f>G$34+G$35*Modèles!$E28</f>
        <v>#DIV/0!</v>
      </c>
      <c r="I29" s="63"/>
      <c r="J29" s="10">
        <v>35</v>
      </c>
      <c r="K29" s="77"/>
      <c r="L29" s="77"/>
      <c r="M29" s="61" t="e">
        <f t="shared" si="9"/>
        <v>#DIV/0!</v>
      </c>
      <c r="N29" s="59" t="e">
        <f t="shared" si="11"/>
        <v>#DIV/0!</v>
      </c>
      <c r="O29" s="59" t="e">
        <f>PRODUCT(N$25:N29)</f>
        <v>#DIV/0!</v>
      </c>
      <c r="P29" s="59" t="e">
        <f t="shared" si="14"/>
        <v>#DIV/0!</v>
      </c>
      <c r="Q29" s="59" t="e">
        <f>P$34+P$35*Modèles!$E28</f>
        <v>#DIV/0!</v>
      </c>
      <c r="S29" s="25" t="e">
        <f t="shared" si="15"/>
        <v>#DIV/0!</v>
      </c>
      <c r="T29" s="25" t="e">
        <f>SQRT(SUM($S$25:S29)*F29^2)</f>
        <v>#DIV/0!</v>
      </c>
      <c r="U29" s="6"/>
      <c r="V29" s="25" t="e">
        <f t="shared" si="12"/>
        <v>#DIV/0!</v>
      </c>
      <c r="W29" s="25" t="e">
        <f>SQRT(SUM($V$25:V29)*O29^2)</f>
        <v>#DIV/0!</v>
      </c>
    </row>
    <row r="30" spans="1:23" ht="14.45" customHeight="1">
      <c r="A30" s="10">
        <v>40</v>
      </c>
      <c r="B30" s="77"/>
      <c r="C30" s="77"/>
      <c r="D30" s="61" t="e">
        <f t="shared" si="8"/>
        <v>#DIV/0!</v>
      </c>
      <c r="E30" s="59" t="e">
        <f t="shared" si="10"/>
        <v>#DIV/0!</v>
      </c>
      <c r="F30" s="59" t="e">
        <f>PRODUCT(E$25:E30)</f>
        <v>#DIV/0!</v>
      </c>
      <c r="G30" s="59" t="e">
        <f t="shared" si="13"/>
        <v>#DIV/0!</v>
      </c>
      <c r="H30" s="59" t="e">
        <f>G$34+G$35*Modèles!$E29</f>
        <v>#DIV/0!</v>
      </c>
      <c r="I30" s="63"/>
      <c r="J30" s="10">
        <v>40</v>
      </c>
      <c r="K30" s="77"/>
      <c r="L30" s="77"/>
      <c r="M30" s="61" t="e">
        <f t="shared" si="9"/>
        <v>#DIV/0!</v>
      </c>
      <c r="N30" s="59" t="e">
        <f t="shared" si="11"/>
        <v>#DIV/0!</v>
      </c>
      <c r="O30" s="59" t="e">
        <f>PRODUCT(N$25:N30)</f>
        <v>#DIV/0!</v>
      </c>
      <c r="P30" s="59" t="e">
        <f t="shared" si="14"/>
        <v>#DIV/0!</v>
      </c>
      <c r="Q30" s="59" t="e">
        <f>P$34+P$35*Modèles!$E29</f>
        <v>#DIV/0!</v>
      </c>
      <c r="S30" s="25" t="e">
        <f t="shared" si="15"/>
        <v>#DIV/0!</v>
      </c>
      <c r="T30" s="25" t="e">
        <f>SQRT(SUM($S$25:S30)*F30^2)</f>
        <v>#DIV/0!</v>
      </c>
      <c r="U30" s="6"/>
      <c r="V30" s="25" t="e">
        <f t="shared" si="12"/>
        <v>#DIV/0!</v>
      </c>
      <c r="W30" s="25" t="e">
        <f>SQRT(SUM($V$25:V30)*O30^2)</f>
        <v>#DIV/0!</v>
      </c>
    </row>
    <row r="31" spans="1:23" ht="14.45" customHeight="1">
      <c r="A31" s="10">
        <v>45</v>
      </c>
      <c r="B31" s="77"/>
      <c r="C31" s="77"/>
      <c r="D31" s="61" t="e">
        <f t="shared" si="8"/>
        <v>#DIV/0!</v>
      </c>
      <c r="E31" s="59" t="e">
        <f t="shared" si="10"/>
        <v>#DIV/0!</v>
      </c>
      <c r="F31" s="59" t="e">
        <f>PRODUCT(E$25:E31)</f>
        <v>#DIV/0!</v>
      </c>
      <c r="G31" s="59" t="e">
        <f t="shared" si="13"/>
        <v>#DIV/0!</v>
      </c>
      <c r="H31" s="59" t="e">
        <f>G$34+G$35*Modèles!$E30</f>
        <v>#DIV/0!</v>
      </c>
      <c r="I31" s="63"/>
      <c r="J31" s="10">
        <v>45</v>
      </c>
      <c r="K31" s="77"/>
      <c r="L31" s="77"/>
      <c r="M31" s="61" t="e">
        <f t="shared" si="9"/>
        <v>#DIV/0!</v>
      </c>
      <c r="N31" s="59" t="e">
        <f t="shared" si="11"/>
        <v>#DIV/0!</v>
      </c>
      <c r="O31" s="59" t="e">
        <f>PRODUCT(N$25:N31)</f>
        <v>#DIV/0!</v>
      </c>
      <c r="P31" s="59" t="e">
        <f t="shared" si="14"/>
        <v>#DIV/0!</v>
      </c>
      <c r="Q31" s="59" t="e">
        <f>P$34+P$35*Modèles!$E30</f>
        <v>#DIV/0!</v>
      </c>
      <c r="S31" s="25" t="e">
        <f t="shared" si="15"/>
        <v>#DIV/0!</v>
      </c>
      <c r="T31" s="25" t="e">
        <f>SQRT(SUM($S$25:S31)*F31^2)</f>
        <v>#DIV/0!</v>
      </c>
      <c r="U31" s="6"/>
      <c r="V31" s="25" t="e">
        <f t="shared" si="12"/>
        <v>#DIV/0!</v>
      </c>
      <c r="W31" s="25" t="e">
        <f>SQRT(SUM($V$25:V31)*O31^2)</f>
        <v>#DIV/0!</v>
      </c>
    </row>
    <row r="32" spans="1:23" ht="14.45" customHeight="1">
      <c r="A32" s="10">
        <v>50</v>
      </c>
      <c r="B32" s="77"/>
      <c r="C32" s="77"/>
      <c r="D32" s="61" t="e">
        <f>B32/C32</f>
        <v>#DIV/0!</v>
      </c>
      <c r="E32" s="59" t="e">
        <f t="shared" si="10"/>
        <v>#DIV/0!</v>
      </c>
      <c r="F32" s="59" t="e">
        <f>PRODUCT(E$25:E32)</f>
        <v>#DIV/0!</v>
      </c>
      <c r="G32" s="59" t="e">
        <f t="shared" si="13"/>
        <v>#DIV/0!</v>
      </c>
      <c r="H32" s="59" t="e">
        <f>G$34+G$35*Modèles!$E31</f>
        <v>#DIV/0!</v>
      </c>
      <c r="I32" s="63"/>
      <c r="J32" s="10">
        <v>50</v>
      </c>
      <c r="K32" s="77"/>
      <c r="L32" s="77"/>
      <c r="M32" s="61" t="e">
        <f t="shared" si="9"/>
        <v>#DIV/0!</v>
      </c>
      <c r="N32" s="59" t="e">
        <f t="shared" si="11"/>
        <v>#DIV/0!</v>
      </c>
      <c r="O32" s="59" t="e">
        <f>PRODUCT(N$25:N32)</f>
        <v>#DIV/0!</v>
      </c>
      <c r="P32" s="59" t="e">
        <f t="shared" si="14"/>
        <v>#DIV/0!</v>
      </c>
      <c r="Q32" s="59" t="e">
        <f>P$34+P$35*Modèles!$E31</f>
        <v>#DIV/0!</v>
      </c>
      <c r="S32" s="25" t="e">
        <f t="shared" si="15"/>
        <v>#DIV/0!</v>
      </c>
      <c r="T32" s="25" t="e">
        <f>SQRT(SUM($S$25:S32)*F32^2)</f>
        <v>#DIV/0!</v>
      </c>
      <c r="U32" s="6"/>
      <c r="V32" s="25" t="e">
        <f t="shared" si="12"/>
        <v>#DIV/0!</v>
      </c>
      <c r="W32" s="25" t="e">
        <f>SQRT(SUM($V$25:V32)*O32^2)</f>
        <v>#DIV/0!</v>
      </c>
    </row>
    <row r="33" spans="1:23" ht="14.45" customHeight="1">
      <c r="A33" s="11">
        <v>55</v>
      </c>
      <c r="B33" s="77"/>
      <c r="C33" s="77"/>
      <c r="D33" s="61" t="e">
        <f>B33/C33</f>
        <v>#DIV/0!</v>
      </c>
      <c r="E33" s="60" t="e">
        <f t="shared" si="10"/>
        <v>#DIV/0!</v>
      </c>
      <c r="F33" s="60" t="e">
        <f>PRODUCT(E$25:E33)</f>
        <v>#DIV/0!</v>
      </c>
      <c r="G33" s="60" t="e">
        <f t="shared" si="13"/>
        <v>#DIV/0!</v>
      </c>
      <c r="H33" s="60" t="e">
        <f>G$34+G$35*Modèles!$E32</f>
        <v>#DIV/0!</v>
      </c>
      <c r="I33" s="63"/>
      <c r="J33" s="11">
        <v>55</v>
      </c>
      <c r="K33" s="77"/>
      <c r="L33" s="77"/>
      <c r="M33" s="61" t="e">
        <f t="shared" si="9"/>
        <v>#DIV/0!</v>
      </c>
      <c r="N33" s="60" t="e">
        <f t="shared" si="11"/>
        <v>#DIV/0!</v>
      </c>
      <c r="O33" s="60" t="e">
        <f>PRODUCT(N$25:N33)</f>
        <v>#DIV/0!</v>
      </c>
      <c r="P33" s="60" t="e">
        <f t="shared" si="14"/>
        <v>#DIV/0!</v>
      </c>
      <c r="Q33" s="60" t="e">
        <f>P$34+P$35*Modèles!$E32</f>
        <v>#DIV/0!</v>
      </c>
      <c r="S33" s="25" t="e">
        <f>(1-E33)^2/(E33*B33)</f>
        <v>#DIV/0!</v>
      </c>
      <c r="T33" s="25" t="e">
        <f>SQRT(SUM($S$25:S33)*F33^2)</f>
        <v>#DIV/0!</v>
      </c>
      <c r="U33" s="6"/>
      <c r="V33" s="25" t="e">
        <f t="shared" si="12"/>
        <v>#DIV/0!</v>
      </c>
      <c r="W33" s="25" t="e">
        <f>SQRT(SUM($V$25:V33)*O33^2)</f>
        <v>#DIV/0!</v>
      </c>
    </row>
    <row r="34" spans="1:23" ht="14.45" customHeight="1">
      <c r="A34" s="20" t="s">
        <v>8</v>
      </c>
      <c r="B34" s="2"/>
      <c r="C34" s="2"/>
      <c r="D34" s="78" t="e">
        <f>1-F31</f>
        <v>#DIV/0!</v>
      </c>
      <c r="E34" s="79" t="e">
        <f>D34-1.96*T31</f>
        <v>#DIV/0!</v>
      </c>
      <c r="F34" s="80" t="e">
        <f>D34+1.96*T31</f>
        <v>#DIV/0!</v>
      </c>
      <c r="G34" s="73" t="e">
        <f>INTERCEPT(G25:G32,Modèles!$E$24:$E$31)</f>
        <v>#DIV/0!</v>
      </c>
      <c r="H34" s="78" t="e">
        <f>1-1/(1+EXP(2*H31))</f>
        <v>#DIV/0!</v>
      </c>
      <c r="J34" s="20" t="s">
        <v>8</v>
      </c>
      <c r="K34" s="2"/>
      <c r="L34" s="2"/>
      <c r="M34" s="78" t="e">
        <f>1-O31</f>
        <v>#DIV/0!</v>
      </c>
      <c r="N34" s="79" t="e">
        <f>M34-1.96*W31</f>
        <v>#DIV/0!</v>
      </c>
      <c r="O34" s="80" t="e">
        <f>M34+1.96*W31</f>
        <v>#DIV/0!</v>
      </c>
      <c r="P34" s="73" t="e">
        <f>INTERCEPT(P25:P32,Modèles!$E$24:$E$31)</f>
        <v>#DIV/0!</v>
      </c>
      <c r="Q34" s="78" t="e">
        <f>1-1/(1+EXP(2*Q31))</f>
        <v>#DIV/0!</v>
      </c>
      <c r="S34" s="6"/>
      <c r="T34" s="6"/>
      <c r="U34" s="6"/>
      <c r="V34" s="6"/>
      <c r="W34" s="6"/>
    </row>
    <row r="35" spans="1:23" ht="17.100000000000001" customHeight="1">
      <c r="A35" s="21" t="s">
        <v>9</v>
      </c>
      <c r="B35" s="4"/>
      <c r="C35" s="4"/>
      <c r="D35" s="81" t="e">
        <f>1-F33</f>
        <v>#DIV/0!</v>
      </c>
      <c r="E35" s="82" t="e">
        <f>D35-1.96*T33</f>
        <v>#DIV/0!</v>
      </c>
      <c r="F35" s="83" t="e">
        <f>D35+1.96*T33</f>
        <v>#DIV/0!</v>
      </c>
      <c r="G35" s="74" t="e">
        <f>SLOPE(G25:G32,Modèles!$E$24:$E$31)</f>
        <v>#DIV/0!</v>
      </c>
      <c r="H35" s="81" t="e">
        <f>1-1/(1+EXP(2*H33))</f>
        <v>#DIV/0!</v>
      </c>
      <c r="J35" s="21" t="s">
        <v>9</v>
      </c>
      <c r="K35" s="4"/>
      <c r="L35" s="4"/>
      <c r="M35" s="81" t="e">
        <f>1-O33</f>
        <v>#DIV/0!</v>
      </c>
      <c r="N35" s="82" t="e">
        <f>M35-1.96*W33</f>
        <v>#DIV/0!</v>
      </c>
      <c r="O35" s="83" t="e">
        <f>M35+1.96*W33</f>
        <v>#DIV/0!</v>
      </c>
      <c r="P35" s="74" t="e">
        <f>SLOPE(P25:P32,Modèles!$E$24:$E$31)</f>
        <v>#DIV/0!</v>
      </c>
      <c r="Q35" s="81" t="e">
        <f>1-1/(1+EXP(2*Q33))</f>
        <v>#DIV/0!</v>
      </c>
      <c r="S35" s="4"/>
      <c r="T35" s="4"/>
      <c r="U35" s="4"/>
      <c r="V35" s="4"/>
      <c r="W35" s="4"/>
    </row>
    <row r="36" spans="1:23" ht="6" customHeight="1">
      <c r="A36" s="52"/>
      <c r="B36" s="53"/>
      <c r="C36" s="53"/>
      <c r="D36" s="54"/>
      <c r="E36" s="55"/>
      <c r="F36" s="56"/>
      <c r="G36" s="54"/>
      <c r="H36" s="54"/>
      <c r="J36" s="52"/>
      <c r="K36" s="53"/>
      <c r="L36" s="53"/>
      <c r="M36" s="54"/>
      <c r="N36" s="55"/>
      <c r="O36" s="56"/>
      <c r="P36" s="54"/>
      <c r="Q36" s="54"/>
      <c r="S36" s="53"/>
      <c r="T36" s="53"/>
      <c r="U36" s="53"/>
      <c r="V36" s="53"/>
      <c r="W36" s="53"/>
    </row>
    <row r="37" spans="1:23" s="47" customFormat="1" ht="12" customHeight="1">
      <c r="A37" s="13"/>
      <c r="B37"/>
      <c r="C37"/>
      <c r="D37"/>
      <c r="E37"/>
      <c r="F37"/>
      <c r="G37"/>
      <c r="H37" s="84">
        <f>YEAR(Introduction!D12)+YEARFRAC(DATE(YEAR(Introduction!D12),1,1),Introduction!D12,1)-(Introduction!D13+Introduction!D14)/2</f>
        <v>1997.7246575342465</v>
      </c>
      <c r="I37" s="53"/>
      <c r="J37" s="13"/>
      <c r="K37"/>
      <c r="L37"/>
      <c r="M37"/>
      <c r="N37"/>
      <c r="O37"/>
      <c r="P37"/>
      <c r="Q37" s="84">
        <f>H37</f>
        <v>1997.7246575342465</v>
      </c>
      <c r="S37"/>
      <c r="T37"/>
      <c r="U37"/>
      <c r="V37"/>
      <c r="W37"/>
    </row>
    <row r="38" spans="1:23" ht="15" customHeight="1">
      <c r="A38" s="69" t="s">
        <v>0</v>
      </c>
      <c r="B38" s="106" t="s">
        <v>51</v>
      </c>
      <c r="C38" s="106"/>
      <c r="D38" s="108"/>
      <c r="E38" s="108"/>
      <c r="F38" s="106"/>
      <c r="G38" s="108"/>
      <c r="H38" s="108"/>
      <c r="I38" s="64"/>
      <c r="J38" s="69" t="s">
        <v>0</v>
      </c>
      <c r="K38" s="106" t="s">
        <v>52</v>
      </c>
      <c r="L38" s="107"/>
      <c r="M38" s="107"/>
      <c r="N38" s="107"/>
      <c r="O38" s="107"/>
      <c r="P38" s="107"/>
      <c r="Q38" s="107"/>
      <c r="S38" s="102"/>
      <c r="T38" s="102"/>
      <c r="U38" s="67"/>
      <c r="V38" s="102"/>
      <c r="W38" s="102"/>
    </row>
    <row r="39" spans="1:23" ht="18">
      <c r="A39" s="14" t="s">
        <v>3</v>
      </c>
      <c r="B39" s="70" t="s">
        <v>47</v>
      </c>
      <c r="C39" s="9" t="s">
        <v>50</v>
      </c>
      <c r="D39" s="70" t="s">
        <v>48</v>
      </c>
      <c r="E39" s="5" t="s">
        <v>1</v>
      </c>
      <c r="F39" s="1" t="s">
        <v>2</v>
      </c>
      <c r="G39" s="5" t="s">
        <v>15</v>
      </c>
      <c r="H39" s="5" t="s">
        <v>49</v>
      </c>
      <c r="I39" s="64"/>
      <c r="J39" s="14" t="s">
        <v>3</v>
      </c>
      <c r="K39" s="70" t="s">
        <v>47</v>
      </c>
      <c r="L39" s="9" t="s">
        <v>50</v>
      </c>
      <c r="M39" s="70" t="s">
        <v>48</v>
      </c>
      <c r="N39" s="5" t="s">
        <v>1</v>
      </c>
      <c r="O39" s="1" t="s">
        <v>2</v>
      </c>
      <c r="P39" s="5" t="s">
        <v>15</v>
      </c>
      <c r="Q39" s="5" t="s">
        <v>49</v>
      </c>
      <c r="S39" s="103" t="s">
        <v>41</v>
      </c>
      <c r="T39" s="103"/>
      <c r="U39" s="68"/>
      <c r="V39" s="103" t="s">
        <v>42</v>
      </c>
      <c r="W39" s="103"/>
    </row>
    <row r="40" spans="1:23" ht="17.100000000000001" customHeight="1">
      <c r="A40" s="10">
        <v>0</v>
      </c>
      <c r="B40" s="62">
        <f t="shared" ref="B40:C51" si="16">B4+B22</f>
        <v>0</v>
      </c>
      <c r="C40" s="62">
        <f>C4+C22</f>
        <v>0</v>
      </c>
      <c r="D40" s="61" t="e">
        <f t="shared" ref="D40:D50" si="17">B40/C40</f>
        <v>#DIV/0!</v>
      </c>
      <c r="E40" s="3"/>
      <c r="F40" s="3"/>
      <c r="G40" s="3"/>
      <c r="H40" s="3"/>
      <c r="I40" s="63"/>
      <c r="J40" s="10">
        <v>0</v>
      </c>
      <c r="K40" s="62">
        <f t="shared" ref="K40:L51" si="18">K4+K22</f>
        <v>0</v>
      </c>
      <c r="L40" s="62">
        <f t="shared" si="18"/>
        <v>0</v>
      </c>
      <c r="M40" s="61" t="e">
        <f>K40/L40</f>
        <v>#DIV/0!</v>
      </c>
      <c r="N40" s="3"/>
      <c r="O40" s="3"/>
      <c r="P40" s="3"/>
      <c r="Q40" s="3"/>
      <c r="S40" s="2"/>
      <c r="T40" s="2"/>
      <c r="U40" s="2"/>
      <c r="V40" s="2"/>
      <c r="W40" s="2"/>
    </row>
    <row r="41" spans="1:23" ht="14.45" customHeight="1">
      <c r="A41" s="10">
        <v>5</v>
      </c>
      <c r="B41" s="62">
        <f t="shared" si="16"/>
        <v>0</v>
      </c>
      <c r="C41" s="62">
        <f t="shared" si="16"/>
        <v>0</v>
      </c>
      <c r="D41" s="61" t="e">
        <f t="shared" si="17"/>
        <v>#DIV/0!</v>
      </c>
      <c r="E41" s="3"/>
      <c r="F41" s="3"/>
      <c r="G41" s="3"/>
      <c r="H41" s="3"/>
      <c r="I41" s="63"/>
      <c r="J41" s="10">
        <v>5</v>
      </c>
      <c r="K41" s="62">
        <f t="shared" si="18"/>
        <v>0</v>
      </c>
      <c r="L41" s="62">
        <f t="shared" si="18"/>
        <v>0</v>
      </c>
      <c r="M41" s="61" t="e">
        <f t="shared" ref="M41:M51" si="19">K41/L41</f>
        <v>#DIV/0!</v>
      </c>
      <c r="N41" s="3"/>
      <c r="O41" s="3"/>
      <c r="P41" s="3"/>
      <c r="Q41" s="3"/>
      <c r="S41" s="2"/>
      <c r="T41" s="2"/>
      <c r="U41" s="2"/>
      <c r="V41" s="2"/>
      <c r="W41" s="2"/>
    </row>
    <row r="42" spans="1:23" ht="14.45" customHeight="1">
      <c r="A42" s="10">
        <v>10</v>
      </c>
      <c r="B42" s="62">
        <f t="shared" si="16"/>
        <v>0</v>
      </c>
      <c r="C42" s="62">
        <f t="shared" si="16"/>
        <v>0</v>
      </c>
      <c r="D42" s="61" t="e">
        <f t="shared" si="17"/>
        <v>#DIV/0!</v>
      </c>
      <c r="E42" s="3"/>
      <c r="F42" s="3"/>
      <c r="G42" s="3"/>
      <c r="H42" s="3"/>
      <c r="I42" s="63"/>
      <c r="J42" s="10">
        <v>10</v>
      </c>
      <c r="K42" s="62">
        <f t="shared" si="18"/>
        <v>0</v>
      </c>
      <c r="L42" s="62">
        <f t="shared" si="18"/>
        <v>0</v>
      </c>
      <c r="M42" s="61" t="e">
        <f t="shared" si="19"/>
        <v>#DIV/0!</v>
      </c>
      <c r="N42" s="3"/>
      <c r="O42" s="3"/>
      <c r="P42" s="3"/>
      <c r="Q42" s="3"/>
      <c r="S42" s="2"/>
      <c r="T42" s="2"/>
      <c r="U42" s="2"/>
      <c r="V42" s="2"/>
      <c r="W42" s="2"/>
    </row>
    <row r="43" spans="1:23" ht="14.45" customHeight="1">
      <c r="A43" s="10">
        <v>15</v>
      </c>
      <c r="B43" s="62">
        <f t="shared" si="16"/>
        <v>0</v>
      </c>
      <c r="C43" s="62">
        <f t="shared" si="16"/>
        <v>0</v>
      </c>
      <c r="D43" s="61" t="e">
        <f t="shared" si="17"/>
        <v>#DIV/0!</v>
      </c>
      <c r="E43" s="59" t="e">
        <f t="shared" ref="E43:E51" si="20">1-5*D43/(1+2.5*D43)</f>
        <v>#DIV/0!</v>
      </c>
      <c r="F43" s="59" t="e">
        <f>PRODUCT(E$43:E43)</f>
        <v>#DIV/0!</v>
      </c>
      <c r="G43" s="59" t="e">
        <f>-0.5*LN(F43/(1-F43))</f>
        <v>#DIV/0!</v>
      </c>
      <c r="H43" s="59" t="e">
        <f>G$52+G$53*Modèles!$E24</f>
        <v>#DIV/0!</v>
      </c>
      <c r="I43" s="63"/>
      <c r="J43" s="10">
        <v>15</v>
      </c>
      <c r="K43" s="62">
        <f t="shared" si="18"/>
        <v>0</v>
      </c>
      <c r="L43" s="62">
        <f t="shared" si="18"/>
        <v>0</v>
      </c>
      <c r="M43" s="61" t="e">
        <f t="shared" si="19"/>
        <v>#DIV/0!</v>
      </c>
      <c r="N43" s="59" t="e">
        <f t="shared" ref="N43:N51" si="21">1-5*M43/(1+2.5*M43)</f>
        <v>#DIV/0!</v>
      </c>
      <c r="O43" s="59" t="e">
        <f>PRODUCT(N$43:N43)</f>
        <v>#DIV/0!</v>
      </c>
      <c r="P43" s="59" t="e">
        <f>-0.5*LN(O43/(1-O43))</f>
        <v>#DIV/0!</v>
      </c>
      <c r="Q43" s="59" t="e">
        <f>P$52+P$53*Modèles!$E24</f>
        <v>#DIV/0!</v>
      </c>
      <c r="S43" s="25" t="e">
        <f>(1-E43)^2/(E43*B43)</f>
        <v>#DIV/0!</v>
      </c>
      <c r="T43" s="25" t="e">
        <f>SQRT(SUM($S$43:S43)*F43^2)</f>
        <v>#DIV/0!</v>
      </c>
      <c r="U43" s="6"/>
      <c r="V43" s="25" t="e">
        <f>(1-N43)^2/(N43*K43)</f>
        <v>#DIV/0!</v>
      </c>
      <c r="W43" s="25" t="e">
        <f>SQRT(SUM($V$43:V43)*O43^2)</f>
        <v>#DIV/0!</v>
      </c>
    </row>
    <row r="44" spans="1:23" ht="14.45" customHeight="1">
      <c r="A44" s="10">
        <v>20</v>
      </c>
      <c r="B44" s="62">
        <f t="shared" si="16"/>
        <v>0</v>
      </c>
      <c r="C44" s="62">
        <f t="shared" si="16"/>
        <v>0</v>
      </c>
      <c r="D44" s="61" t="e">
        <f t="shared" si="17"/>
        <v>#DIV/0!</v>
      </c>
      <c r="E44" s="59" t="e">
        <f t="shared" si="20"/>
        <v>#DIV/0!</v>
      </c>
      <c r="F44" s="59" t="e">
        <f>PRODUCT(E$43:E44)</f>
        <v>#DIV/0!</v>
      </c>
      <c r="G44" s="59" t="e">
        <f t="shared" ref="G44:G51" si="22">-0.5*LN(F44/(1-F44))</f>
        <v>#DIV/0!</v>
      </c>
      <c r="H44" s="59" t="e">
        <f>G$52+G$53*Modèles!$E25</f>
        <v>#DIV/0!</v>
      </c>
      <c r="I44" s="63"/>
      <c r="J44" s="10">
        <v>20</v>
      </c>
      <c r="K44" s="62">
        <f t="shared" si="18"/>
        <v>0</v>
      </c>
      <c r="L44" s="62">
        <f t="shared" si="18"/>
        <v>0</v>
      </c>
      <c r="M44" s="61" t="e">
        <f t="shared" si="19"/>
        <v>#DIV/0!</v>
      </c>
      <c r="N44" s="59" t="e">
        <f t="shared" si="21"/>
        <v>#DIV/0!</v>
      </c>
      <c r="O44" s="59" t="e">
        <f>PRODUCT(N$43:N44)</f>
        <v>#DIV/0!</v>
      </c>
      <c r="P44" s="59" t="e">
        <f t="shared" ref="P44:P51" si="23">-0.5*LN(O44/(1-O44))</f>
        <v>#DIV/0!</v>
      </c>
      <c r="Q44" s="59" t="e">
        <f>P$52+P$53*Modèles!$E25</f>
        <v>#DIV/0!</v>
      </c>
      <c r="S44" s="25" t="e">
        <f t="shared" ref="S44:S50" si="24">(1-E44)^2/(E44*B44)</f>
        <v>#DIV/0!</v>
      </c>
      <c r="T44" s="25" t="e">
        <f>SQRT(SUM($S$43:S44)*F44^2)</f>
        <v>#DIV/0!</v>
      </c>
      <c r="U44" s="6"/>
      <c r="V44" s="25" t="e">
        <f t="shared" ref="V44:V51" si="25">(1-N44)^2/(N44*K44)</f>
        <v>#DIV/0!</v>
      </c>
      <c r="W44" s="25" t="e">
        <f>SQRT(SUM($V$43:V44)*O44^2)</f>
        <v>#DIV/0!</v>
      </c>
    </row>
    <row r="45" spans="1:23" ht="14.45" customHeight="1">
      <c r="A45" s="10">
        <v>25</v>
      </c>
      <c r="B45" s="62">
        <f t="shared" si="16"/>
        <v>0</v>
      </c>
      <c r="C45" s="62">
        <f t="shared" si="16"/>
        <v>0</v>
      </c>
      <c r="D45" s="61" t="e">
        <f t="shared" si="17"/>
        <v>#DIV/0!</v>
      </c>
      <c r="E45" s="59" t="e">
        <f t="shared" si="20"/>
        <v>#DIV/0!</v>
      </c>
      <c r="F45" s="59" t="e">
        <f>PRODUCT(E$43:E45)</f>
        <v>#DIV/0!</v>
      </c>
      <c r="G45" s="59" t="e">
        <f t="shared" si="22"/>
        <v>#DIV/0!</v>
      </c>
      <c r="H45" s="59" t="e">
        <f>G$52+G$53*Modèles!$E26</f>
        <v>#DIV/0!</v>
      </c>
      <c r="I45" s="63"/>
      <c r="J45" s="10">
        <v>25</v>
      </c>
      <c r="K45" s="62">
        <f t="shared" si="18"/>
        <v>0</v>
      </c>
      <c r="L45" s="62">
        <f t="shared" si="18"/>
        <v>0</v>
      </c>
      <c r="M45" s="61" t="e">
        <f t="shared" si="19"/>
        <v>#DIV/0!</v>
      </c>
      <c r="N45" s="59" t="e">
        <f t="shared" si="21"/>
        <v>#DIV/0!</v>
      </c>
      <c r="O45" s="59" t="e">
        <f>PRODUCT(N$43:N45)</f>
        <v>#DIV/0!</v>
      </c>
      <c r="P45" s="59" t="e">
        <f t="shared" si="23"/>
        <v>#DIV/0!</v>
      </c>
      <c r="Q45" s="59" t="e">
        <f>P$52+P$53*Modèles!$E26</f>
        <v>#DIV/0!</v>
      </c>
      <c r="S45" s="25" t="e">
        <f>(1-E45)^2/(E45*B45)</f>
        <v>#DIV/0!</v>
      </c>
      <c r="T45" s="25" t="e">
        <f>SQRT(SUM($S$43:S45)*F45^2)</f>
        <v>#DIV/0!</v>
      </c>
      <c r="U45" s="6"/>
      <c r="V45" s="25" t="e">
        <f t="shared" si="25"/>
        <v>#DIV/0!</v>
      </c>
      <c r="W45" s="25" t="e">
        <f>SQRT(SUM($V$43:V45)*O45^2)</f>
        <v>#DIV/0!</v>
      </c>
    </row>
    <row r="46" spans="1:23" ht="14.45" customHeight="1">
      <c r="A46" s="10">
        <v>30</v>
      </c>
      <c r="B46" s="62">
        <f t="shared" si="16"/>
        <v>0</v>
      </c>
      <c r="C46" s="62">
        <f t="shared" si="16"/>
        <v>0</v>
      </c>
      <c r="D46" s="61" t="e">
        <f t="shared" si="17"/>
        <v>#DIV/0!</v>
      </c>
      <c r="E46" s="59" t="e">
        <f t="shared" si="20"/>
        <v>#DIV/0!</v>
      </c>
      <c r="F46" s="59" t="e">
        <f>PRODUCT(E$43:E46)</f>
        <v>#DIV/0!</v>
      </c>
      <c r="G46" s="59" t="e">
        <f t="shared" si="22"/>
        <v>#DIV/0!</v>
      </c>
      <c r="H46" s="59" t="e">
        <f>G$52+G$53*Modèles!$E27</f>
        <v>#DIV/0!</v>
      </c>
      <c r="I46" s="63"/>
      <c r="J46" s="10">
        <v>30</v>
      </c>
      <c r="K46" s="62">
        <f t="shared" si="18"/>
        <v>0</v>
      </c>
      <c r="L46" s="62">
        <f t="shared" si="18"/>
        <v>0</v>
      </c>
      <c r="M46" s="61" t="e">
        <f t="shared" si="19"/>
        <v>#DIV/0!</v>
      </c>
      <c r="N46" s="59" t="e">
        <f t="shared" si="21"/>
        <v>#DIV/0!</v>
      </c>
      <c r="O46" s="59" t="e">
        <f>PRODUCT(N$43:N46)</f>
        <v>#DIV/0!</v>
      </c>
      <c r="P46" s="59" t="e">
        <f t="shared" si="23"/>
        <v>#DIV/0!</v>
      </c>
      <c r="Q46" s="59" t="e">
        <f>P$52+P$53*Modèles!$E27</f>
        <v>#DIV/0!</v>
      </c>
      <c r="S46" s="25" t="e">
        <f t="shared" si="24"/>
        <v>#DIV/0!</v>
      </c>
      <c r="T46" s="25" t="e">
        <f>SQRT(SUM($S$43:S46)*F46^2)</f>
        <v>#DIV/0!</v>
      </c>
      <c r="U46" s="6"/>
      <c r="V46" s="25" t="e">
        <f t="shared" si="25"/>
        <v>#DIV/0!</v>
      </c>
      <c r="W46" s="25" t="e">
        <f>SQRT(SUM($V$43:V46)*O46^2)</f>
        <v>#DIV/0!</v>
      </c>
    </row>
    <row r="47" spans="1:23" ht="14.45" customHeight="1">
      <c r="A47" s="10">
        <v>35</v>
      </c>
      <c r="B47" s="62">
        <f t="shared" si="16"/>
        <v>0</v>
      </c>
      <c r="C47" s="62">
        <f t="shared" si="16"/>
        <v>0</v>
      </c>
      <c r="D47" s="61" t="e">
        <f t="shared" si="17"/>
        <v>#DIV/0!</v>
      </c>
      <c r="E47" s="59" t="e">
        <f t="shared" si="20"/>
        <v>#DIV/0!</v>
      </c>
      <c r="F47" s="59" t="e">
        <f>PRODUCT(E$43:E47)</f>
        <v>#DIV/0!</v>
      </c>
      <c r="G47" s="59" t="e">
        <f t="shared" si="22"/>
        <v>#DIV/0!</v>
      </c>
      <c r="H47" s="59" t="e">
        <f>G$52+G$53*Modèles!$E28</f>
        <v>#DIV/0!</v>
      </c>
      <c r="I47" s="63"/>
      <c r="J47" s="10">
        <v>35</v>
      </c>
      <c r="K47" s="62">
        <f t="shared" si="18"/>
        <v>0</v>
      </c>
      <c r="L47" s="62">
        <f t="shared" si="18"/>
        <v>0</v>
      </c>
      <c r="M47" s="61" t="e">
        <f t="shared" si="19"/>
        <v>#DIV/0!</v>
      </c>
      <c r="N47" s="59" t="e">
        <f t="shared" si="21"/>
        <v>#DIV/0!</v>
      </c>
      <c r="O47" s="59" t="e">
        <f>PRODUCT(N$43:N47)</f>
        <v>#DIV/0!</v>
      </c>
      <c r="P47" s="59" t="e">
        <f t="shared" si="23"/>
        <v>#DIV/0!</v>
      </c>
      <c r="Q47" s="59" t="e">
        <f>P$52+P$53*Modèles!$E28</f>
        <v>#DIV/0!</v>
      </c>
      <c r="S47" s="25" t="e">
        <f t="shared" si="24"/>
        <v>#DIV/0!</v>
      </c>
      <c r="T47" s="25" t="e">
        <f>SQRT(SUM($S$43:S47)*F47^2)</f>
        <v>#DIV/0!</v>
      </c>
      <c r="U47" s="6"/>
      <c r="V47" s="25" t="e">
        <f t="shared" si="25"/>
        <v>#DIV/0!</v>
      </c>
      <c r="W47" s="25" t="e">
        <f>SQRT(SUM($V$43:V47)*O47^2)</f>
        <v>#DIV/0!</v>
      </c>
    </row>
    <row r="48" spans="1:23" ht="14.45" customHeight="1">
      <c r="A48" s="10">
        <v>40</v>
      </c>
      <c r="B48" s="62">
        <f t="shared" si="16"/>
        <v>0</v>
      </c>
      <c r="C48" s="62">
        <f t="shared" si="16"/>
        <v>0</v>
      </c>
      <c r="D48" s="61" t="e">
        <f t="shared" si="17"/>
        <v>#DIV/0!</v>
      </c>
      <c r="E48" s="59" t="e">
        <f t="shared" si="20"/>
        <v>#DIV/0!</v>
      </c>
      <c r="F48" s="59" t="e">
        <f>PRODUCT(E$43:E48)</f>
        <v>#DIV/0!</v>
      </c>
      <c r="G48" s="59" t="e">
        <f t="shared" si="22"/>
        <v>#DIV/0!</v>
      </c>
      <c r="H48" s="59" t="e">
        <f>G$52+G$53*Modèles!$E29</f>
        <v>#DIV/0!</v>
      </c>
      <c r="I48" s="63"/>
      <c r="J48" s="10">
        <v>40</v>
      </c>
      <c r="K48" s="62">
        <f t="shared" si="18"/>
        <v>0</v>
      </c>
      <c r="L48" s="62">
        <f t="shared" si="18"/>
        <v>0</v>
      </c>
      <c r="M48" s="61" t="e">
        <f t="shared" si="19"/>
        <v>#DIV/0!</v>
      </c>
      <c r="N48" s="59" t="e">
        <f t="shared" si="21"/>
        <v>#DIV/0!</v>
      </c>
      <c r="O48" s="59" t="e">
        <f>PRODUCT(N$43:N48)</f>
        <v>#DIV/0!</v>
      </c>
      <c r="P48" s="59" t="e">
        <f t="shared" si="23"/>
        <v>#DIV/0!</v>
      </c>
      <c r="Q48" s="59" t="e">
        <f>P$52+P$53*Modèles!$E29</f>
        <v>#DIV/0!</v>
      </c>
      <c r="S48" s="25" t="e">
        <f t="shared" si="24"/>
        <v>#DIV/0!</v>
      </c>
      <c r="T48" s="25" t="e">
        <f>SQRT(SUM($S$43:S48)*F48^2)</f>
        <v>#DIV/0!</v>
      </c>
      <c r="U48" s="6"/>
      <c r="V48" s="25" t="e">
        <f t="shared" si="25"/>
        <v>#DIV/0!</v>
      </c>
      <c r="W48" s="25" t="e">
        <f>SQRT(SUM($V$43:V48)*O48^2)</f>
        <v>#DIV/0!</v>
      </c>
    </row>
    <row r="49" spans="1:23" ht="14.45" customHeight="1">
      <c r="A49" s="10">
        <v>45</v>
      </c>
      <c r="B49" s="62">
        <f t="shared" si="16"/>
        <v>0</v>
      </c>
      <c r="C49" s="62">
        <f t="shared" si="16"/>
        <v>0</v>
      </c>
      <c r="D49" s="61" t="e">
        <f t="shared" si="17"/>
        <v>#DIV/0!</v>
      </c>
      <c r="E49" s="59" t="e">
        <f t="shared" si="20"/>
        <v>#DIV/0!</v>
      </c>
      <c r="F49" s="59" t="e">
        <f>PRODUCT(E$43:E49)</f>
        <v>#DIV/0!</v>
      </c>
      <c r="G49" s="59" t="e">
        <f t="shared" si="22"/>
        <v>#DIV/0!</v>
      </c>
      <c r="H49" s="59" t="e">
        <f>G$52+G$53*Modèles!$E30</f>
        <v>#DIV/0!</v>
      </c>
      <c r="I49" s="63"/>
      <c r="J49" s="10">
        <v>45</v>
      </c>
      <c r="K49" s="62">
        <f t="shared" si="18"/>
        <v>0</v>
      </c>
      <c r="L49" s="62">
        <f t="shared" si="18"/>
        <v>0</v>
      </c>
      <c r="M49" s="61" t="e">
        <f t="shared" si="19"/>
        <v>#DIV/0!</v>
      </c>
      <c r="N49" s="59" t="e">
        <f t="shared" si="21"/>
        <v>#DIV/0!</v>
      </c>
      <c r="O49" s="59" t="e">
        <f>PRODUCT(N$43:N49)</f>
        <v>#DIV/0!</v>
      </c>
      <c r="P49" s="59" t="e">
        <f t="shared" si="23"/>
        <v>#DIV/0!</v>
      </c>
      <c r="Q49" s="59" t="e">
        <f>P$52+P$53*Modèles!$E30</f>
        <v>#DIV/0!</v>
      </c>
      <c r="S49" s="25" t="e">
        <f t="shared" si="24"/>
        <v>#DIV/0!</v>
      </c>
      <c r="T49" s="25" t="e">
        <f>SQRT(SUM($S$43:S49)*F49^2)</f>
        <v>#DIV/0!</v>
      </c>
      <c r="U49" s="6"/>
      <c r="V49" s="25" t="e">
        <f t="shared" si="25"/>
        <v>#DIV/0!</v>
      </c>
      <c r="W49" s="25" t="e">
        <f>SQRT(SUM($V$43:V49)*O49^2)</f>
        <v>#DIV/0!</v>
      </c>
    </row>
    <row r="50" spans="1:23" ht="14.45" customHeight="1">
      <c r="A50" s="10">
        <v>50</v>
      </c>
      <c r="B50" s="62">
        <f t="shared" si="16"/>
        <v>0</v>
      </c>
      <c r="C50" s="62">
        <f t="shared" si="16"/>
        <v>0</v>
      </c>
      <c r="D50" s="61" t="e">
        <f t="shared" si="17"/>
        <v>#DIV/0!</v>
      </c>
      <c r="E50" s="59" t="e">
        <f t="shared" si="20"/>
        <v>#DIV/0!</v>
      </c>
      <c r="F50" s="59" t="e">
        <f>PRODUCT(E$43:E50)</f>
        <v>#DIV/0!</v>
      </c>
      <c r="G50" s="59" t="e">
        <f t="shared" si="22"/>
        <v>#DIV/0!</v>
      </c>
      <c r="H50" s="59" t="e">
        <f>G$52+G$53*Modèles!$E31</f>
        <v>#DIV/0!</v>
      </c>
      <c r="I50" s="63"/>
      <c r="J50" s="10">
        <v>50</v>
      </c>
      <c r="K50" s="62">
        <f t="shared" si="18"/>
        <v>0</v>
      </c>
      <c r="L50" s="62">
        <f t="shared" si="18"/>
        <v>0</v>
      </c>
      <c r="M50" s="61" t="e">
        <f t="shared" si="19"/>
        <v>#DIV/0!</v>
      </c>
      <c r="N50" s="59" t="e">
        <f t="shared" si="21"/>
        <v>#DIV/0!</v>
      </c>
      <c r="O50" s="59" t="e">
        <f>PRODUCT(N$43:N50)</f>
        <v>#DIV/0!</v>
      </c>
      <c r="P50" s="59" t="e">
        <f t="shared" si="23"/>
        <v>#DIV/0!</v>
      </c>
      <c r="Q50" s="59" t="e">
        <f>P$52+P$53*Modèles!$E31</f>
        <v>#DIV/0!</v>
      </c>
      <c r="S50" s="25" t="e">
        <f t="shared" si="24"/>
        <v>#DIV/0!</v>
      </c>
      <c r="T50" s="25" t="e">
        <f>SQRT(SUM($S$43:S50)*F50^2)</f>
        <v>#DIV/0!</v>
      </c>
      <c r="U50" s="6"/>
      <c r="V50" s="25" t="e">
        <f t="shared" si="25"/>
        <v>#DIV/0!</v>
      </c>
      <c r="W50" s="25" t="e">
        <f>SQRT(SUM($V$43:V50)*O50^2)</f>
        <v>#DIV/0!</v>
      </c>
    </row>
    <row r="51" spans="1:23" ht="14.45" customHeight="1">
      <c r="A51" s="11">
        <v>55</v>
      </c>
      <c r="B51" s="62">
        <f t="shared" si="16"/>
        <v>0</v>
      </c>
      <c r="C51" s="62">
        <f>C15+C33</f>
        <v>0</v>
      </c>
      <c r="D51" s="61" t="e">
        <f>B51/C51</f>
        <v>#DIV/0!</v>
      </c>
      <c r="E51" s="60" t="e">
        <f t="shared" si="20"/>
        <v>#DIV/0!</v>
      </c>
      <c r="F51" s="60" t="e">
        <f>PRODUCT(E$43:E51)</f>
        <v>#DIV/0!</v>
      </c>
      <c r="G51" s="60" t="e">
        <f t="shared" si="22"/>
        <v>#DIV/0!</v>
      </c>
      <c r="H51" s="60" t="e">
        <f>G$52+G$53*Modèles!$E32</f>
        <v>#DIV/0!</v>
      </c>
      <c r="I51" s="63"/>
      <c r="J51" s="11">
        <v>55</v>
      </c>
      <c r="K51" s="62">
        <f t="shared" si="18"/>
        <v>0</v>
      </c>
      <c r="L51" s="62">
        <f t="shared" si="18"/>
        <v>0</v>
      </c>
      <c r="M51" s="61" t="e">
        <f t="shared" si="19"/>
        <v>#DIV/0!</v>
      </c>
      <c r="N51" s="60" t="e">
        <f t="shared" si="21"/>
        <v>#DIV/0!</v>
      </c>
      <c r="O51" s="60" t="e">
        <f>PRODUCT(N$43:N51)</f>
        <v>#DIV/0!</v>
      </c>
      <c r="P51" s="60" t="e">
        <f t="shared" si="23"/>
        <v>#DIV/0!</v>
      </c>
      <c r="Q51" s="60" t="e">
        <f>P$52+P$53*Modèles!$E32</f>
        <v>#DIV/0!</v>
      </c>
      <c r="S51" s="25" t="e">
        <f>(1-E51)^2/(E51*B51)</f>
        <v>#DIV/0!</v>
      </c>
      <c r="T51" s="25" t="e">
        <f>SQRT(SUM($S$43:S51)*F51^2)</f>
        <v>#DIV/0!</v>
      </c>
      <c r="U51" s="6"/>
      <c r="V51" s="25" t="e">
        <f t="shared" si="25"/>
        <v>#DIV/0!</v>
      </c>
      <c r="W51" s="25" t="e">
        <f>SQRT(SUM($V$43:V51)*O51^2)</f>
        <v>#DIV/0!</v>
      </c>
    </row>
    <row r="52" spans="1:23" ht="14.45" customHeight="1">
      <c r="A52" s="20" t="s">
        <v>8</v>
      </c>
      <c r="B52" s="2"/>
      <c r="C52" s="2"/>
      <c r="D52" s="78" t="e">
        <f>1-F49</f>
        <v>#DIV/0!</v>
      </c>
      <c r="E52" s="79" t="e">
        <f>D52-1.96*T49</f>
        <v>#DIV/0!</v>
      </c>
      <c r="F52" s="80" t="e">
        <f>D52+1.96*T49</f>
        <v>#DIV/0!</v>
      </c>
      <c r="G52" s="73" t="e">
        <f>INTERCEPT(G43:G50,Modèles!$E$24:$E$31)</f>
        <v>#DIV/0!</v>
      </c>
      <c r="H52" s="78" t="e">
        <f>1-1/(1+EXP(2*H49))</f>
        <v>#DIV/0!</v>
      </c>
      <c r="J52" s="20" t="s">
        <v>8</v>
      </c>
      <c r="K52" s="2"/>
      <c r="L52" s="2"/>
      <c r="M52" s="78" t="e">
        <f>1-O49</f>
        <v>#DIV/0!</v>
      </c>
      <c r="N52" s="79" t="e">
        <f>M52-1.96*W49</f>
        <v>#DIV/0!</v>
      </c>
      <c r="O52" s="80" t="e">
        <f>M52+1.96*W49</f>
        <v>#DIV/0!</v>
      </c>
      <c r="P52" s="73" t="e">
        <f>INTERCEPT(P43:P50,Modèles!$E$24:$E$31)</f>
        <v>#DIV/0!</v>
      </c>
      <c r="Q52" s="78" t="e">
        <f>1-1/(1+EXP(2*Q49))</f>
        <v>#DIV/0!</v>
      </c>
      <c r="S52" s="6"/>
      <c r="T52" s="6"/>
      <c r="U52" s="6"/>
      <c r="V52" s="6"/>
      <c r="W52" s="6"/>
    </row>
    <row r="53" spans="1:23" ht="17.100000000000001" customHeight="1">
      <c r="A53" s="21" t="s">
        <v>9</v>
      </c>
      <c r="B53" s="4"/>
      <c r="C53" s="4"/>
      <c r="D53" s="81" t="e">
        <f>1-F51</f>
        <v>#DIV/0!</v>
      </c>
      <c r="E53" s="82" t="e">
        <f>D53-1.96*T51</f>
        <v>#DIV/0!</v>
      </c>
      <c r="F53" s="83" t="e">
        <f>D53+1.96*T51</f>
        <v>#DIV/0!</v>
      </c>
      <c r="G53" s="74" t="e">
        <f>SLOPE(G43:G50,Modèles!$E$24:$E$31)</f>
        <v>#DIV/0!</v>
      </c>
      <c r="H53" s="81" t="e">
        <f>1-1/(1+EXP(2*H51))</f>
        <v>#DIV/0!</v>
      </c>
      <c r="J53" s="21" t="s">
        <v>9</v>
      </c>
      <c r="K53" s="4"/>
      <c r="L53" s="4"/>
      <c r="M53" s="81" t="e">
        <f>1-O51</f>
        <v>#DIV/0!</v>
      </c>
      <c r="N53" s="82" t="e">
        <f>M53-1.96*W51</f>
        <v>#DIV/0!</v>
      </c>
      <c r="O53" s="83" t="e">
        <f>M53+1.96*W51</f>
        <v>#DIV/0!</v>
      </c>
      <c r="P53" s="74" t="e">
        <f>SLOPE(P43:P50,Modèles!$E$24:$E$31)</f>
        <v>#DIV/0!</v>
      </c>
      <c r="Q53" s="81" t="e">
        <f>1-1/(1+EXP(2*Q51))</f>
        <v>#DIV/0!</v>
      </c>
      <c r="S53" s="4"/>
      <c r="T53" s="4"/>
      <c r="U53" s="4"/>
      <c r="V53" s="4"/>
      <c r="W53" s="4"/>
    </row>
    <row r="54" spans="1:23" ht="17.100000000000001" customHeight="1"/>
  </sheetData>
  <sheetProtection sheet="1" objects="1" scenarios="1"/>
  <mergeCells count="18">
    <mergeCell ref="B38:H38"/>
    <mergeCell ref="K38:Q38"/>
    <mergeCell ref="S38:T38"/>
    <mergeCell ref="V38:W38"/>
    <mergeCell ref="S39:T39"/>
    <mergeCell ref="V39:W39"/>
    <mergeCell ref="B20:H20"/>
    <mergeCell ref="K20:Q20"/>
    <mergeCell ref="S20:T20"/>
    <mergeCell ref="V20:W20"/>
    <mergeCell ref="S21:T21"/>
    <mergeCell ref="V21:W21"/>
    <mergeCell ref="B2:H2"/>
    <mergeCell ref="K2:Q2"/>
    <mergeCell ref="S2:T2"/>
    <mergeCell ref="V2:W2"/>
    <mergeCell ref="S3:T3"/>
    <mergeCell ref="V3:W3"/>
  </mergeCells>
  <dataValidations count="1">
    <dataValidation type="decimal" operator="greaterThanOrEqual" allowBlank="1" showInputMessage="1" showErrorMessage="1" sqref="C4:C14 B4:B15 K22:L33 K4:L15 B22:C33">
      <formula1>0</formula1>
    </dataValidation>
  </dataValidations>
  <pageMargins left="0.70866141732283472" right="0.70866141732283472" top="0.59055118110236227" bottom="0.59055118110236227" header="0.23622047244094491" footer="0.23622047244094491"/>
  <pageSetup paperSize="9" orientation="portrait" r:id="rId1"/>
  <headerFooter>
    <oddHeader>&amp;L&amp;"+,Regular"&amp;14Tools for Demographic Estimation&amp;R&amp;"+,Regular"&amp;14Siblings - direct calculations</oddHeader>
    <oddFooter>&amp;L&amp;"+,Regular"&amp;12&amp;F&amp;R&amp;"+,Regular"&amp;12&amp;D  &amp;T</oddFooter>
  </headerFooter>
  <rowBreaks count="1" manualBreakCount="1">
    <brk id="53" max="16383" man="1"/>
  </rowBreaks>
  <colBreaks count="2" manualBreakCount="2">
    <brk id="9" max="1048575" man="1"/>
    <brk id="1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H1:Y1"/>
  <sheetViews>
    <sheetView showGridLines="0" showRowColHeaders="0" topLeftCell="F1" zoomScaleNormal="100" workbookViewId="0">
      <selection activeCell="P1" sqref="P1"/>
    </sheetView>
  </sheetViews>
  <sheetFormatPr defaultColWidth="9.140625" defaultRowHeight="12.75"/>
  <sheetData>
    <row r="1" spans="8:25" ht="19.5">
      <c r="H1" s="71" t="s">
        <v>55</v>
      </c>
      <c r="Y1" s="71" t="s">
        <v>54</v>
      </c>
    </row>
  </sheetData>
  <sheetProtection sheet="1" objects="1" scenarios="1" selectLockedCells="1" selectUnlockedCells="1"/>
  <pageMargins left="0.51181102362204722" right="0.51181102362204722" top="0.74803149606299213" bottom="0.74803149606299213" header="0.31496062992125984" footer="0.31496062992125984"/>
  <pageSetup paperSize="9" scale="60" orientation="portrait" verticalDpi="0" r:id="rId1"/>
  <headerFooter>
    <oddHeader>&amp;L&amp;"+,Bold"&amp;14Tools for 
Demographic Estimation&amp;R&amp;"+,Bold"&amp;14Siblings - direct calculations</oddHeader>
    <oddFooter>&amp;L&amp;"+,Regular"&amp;12&amp;F&amp;R&amp;"+,Regular"&amp;12&amp;D  &amp;T</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Introduction</vt:lpstr>
      <vt:lpstr>Modèles</vt:lpstr>
      <vt:lpstr>Femmes enquêtées</vt:lpstr>
      <vt:lpstr>Hommes enquêtés</vt:lpstr>
      <vt:lpstr>Graphiques</vt:lpstr>
      <vt:lpstr>Model_LTs</vt:lpstr>
      <vt:lpstr>Introduction!Print_Area</vt:lpstr>
    </vt:vector>
  </TitlesOfParts>
  <Company>London School of Hygiene &amp; Tropical Medicine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Ian Timaeus</dc:creator>
  <cp:lastModifiedBy>Anne Scott</cp:lastModifiedBy>
  <cp:lastPrinted>2011-11-22T11:56:29Z</cp:lastPrinted>
  <dcterms:created xsi:type="dcterms:W3CDTF">2011-10-23T11:17:36Z</dcterms:created>
  <dcterms:modified xsi:type="dcterms:W3CDTF">2015-05-21T16:55:07Z</dcterms:modified>
</cp:coreProperties>
</file>