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 yWindow="45" windowWidth="19230" windowHeight="5805"/>
  </bookViews>
  <sheets>
    <sheet name="Introduction" sheetId="6" r:id="rId1"/>
    <sheet name="Modèles" sheetId="7" r:id="rId2"/>
    <sheet name="Orphelins de mère" sheetId="1" r:id="rId3"/>
    <sheet name="Orphelins de père" sheetId="3" r:id="rId4"/>
    <sheet name="Graphiques" sheetId="5" r:id="rId5"/>
  </sheets>
  <externalReferences>
    <externalReference r:id="rId6"/>
  </externalReferences>
  <definedNames>
    <definedName name="_Regression_Int" localSheetId="2" hidden="1">1</definedName>
    <definedName name="Date_of_survey" localSheetId="0">'[1]Maternal orphanhood'!$S$1</definedName>
    <definedName name="Date_of_survey">'Orphelins de mère'!$U$1</definedName>
    <definedName name="MBAR" localSheetId="0">'[1]Maternal orphanhood'!$D$29</definedName>
    <definedName name="MBAR">'Orphelins de mère'!$D$58</definedName>
    <definedName name="MBAR_m" localSheetId="0">'[1]Paternal orphanhood'!$C$17</definedName>
    <definedName name="MBAR_m">'Orphelins de père'!$C$44</definedName>
    <definedName name="Model_LTs">Modèles!$B$2:$I$2</definedName>
    <definedName name="Print_Area_MI" localSheetId="2">'Orphelins de mère'!$A$1:$K$60</definedName>
  </definedNames>
  <calcPr calcId="145621"/>
</workbook>
</file>

<file path=xl/calcChain.xml><?xml version="1.0" encoding="utf-8"?>
<calcChain xmlns="http://schemas.openxmlformats.org/spreadsheetml/2006/main">
  <c r="C49" i="1" l="1"/>
  <c r="B38" i="7" l="1"/>
  <c r="B37" i="7"/>
  <c r="B36" i="7"/>
  <c r="B35" i="7"/>
  <c r="B34" i="7"/>
  <c r="B33" i="7"/>
  <c r="B32" i="7"/>
  <c r="B31" i="7"/>
  <c r="B30" i="7"/>
  <c r="B29" i="7"/>
  <c r="B28" i="7"/>
  <c r="B27" i="7"/>
  <c r="B26" i="7"/>
  <c r="B25" i="7"/>
  <c r="B24" i="7"/>
  <c r="L39" i="3" l="1"/>
  <c r="L42" i="1"/>
  <c r="J19" i="1"/>
  <c r="H38" i="7" l="1"/>
  <c r="G38" i="7"/>
  <c r="H37" i="7"/>
  <c r="G37" i="7"/>
  <c r="H36" i="7"/>
  <c r="G36" i="7"/>
  <c r="H35" i="7"/>
  <c r="G35" i="7"/>
  <c r="H34" i="7"/>
  <c r="G34" i="7"/>
  <c r="H33" i="7"/>
  <c r="G33" i="7"/>
  <c r="H32" i="7"/>
  <c r="G32" i="7"/>
  <c r="H31" i="7"/>
  <c r="G31" i="7"/>
  <c r="H30" i="7"/>
  <c r="G30" i="7"/>
  <c r="H29" i="7"/>
  <c r="G29" i="7"/>
  <c r="H28" i="7"/>
  <c r="G28" i="7"/>
  <c r="H27" i="7"/>
  <c r="G27" i="7"/>
  <c r="H26" i="7"/>
  <c r="G26" i="7"/>
  <c r="H25" i="7"/>
  <c r="G25" i="7"/>
  <c r="H24" i="7"/>
  <c r="G24" i="7"/>
  <c r="D21" i="3" l="1"/>
  <c r="D22" i="3"/>
  <c r="D23" i="3"/>
  <c r="D24" i="3"/>
  <c r="D25" i="3"/>
  <c r="D26" i="3"/>
  <c r="D27" i="3"/>
  <c r="D20" i="3"/>
  <c r="D7" i="3"/>
  <c r="D8" i="3"/>
  <c r="D9" i="3"/>
  <c r="D10" i="3"/>
  <c r="D11" i="3"/>
  <c r="D12" i="3"/>
  <c r="D13" i="3"/>
  <c r="D6" i="3"/>
  <c r="D22" i="1"/>
  <c r="D23" i="1"/>
  <c r="D24" i="1"/>
  <c r="D25" i="1"/>
  <c r="D26" i="1"/>
  <c r="D27" i="1"/>
  <c r="D28" i="1"/>
  <c r="D29" i="1"/>
  <c r="D21" i="1"/>
  <c r="D7" i="1"/>
  <c r="D8" i="1"/>
  <c r="D9" i="1"/>
  <c r="D10" i="1"/>
  <c r="D11" i="1"/>
  <c r="D12" i="1"/>
  <c r="D13" i="1"/>
  <c r="D14" i="1"/>
  <c r="D6" i="1"/>
  <c r="M34" i="1" l="1"/>
  <c r="J4" i="1"/>
  <c r="J4" i="3"/>
  <c r="M32" i="3"/>
  <c r="J18" i="3"/>
  <c r="B21" i="7"/>
  <c r="C21" i="7" s="1"/>
  <c r="L38" i="7" l="1"/>
  <c r="L39" i="7"/>
  <c r="L40" i="7"/>
  <c r="L41" i="7"/>
  <c r="L22" i="7"/>
  <c r="L21" i="7"/>
  <c r="L20" i="7"/>
  <c r="L19" i="7"/>
  <c r="L18" i="7"/>
  <c r="L17" i="7"/>
  <c r="C25" i="7"/>
  <c r="C26" i="7"/>
  <c r="C27" i="7"/>
  <c r="C28" i="7"/>
  <c r="C29" i="7"/>
  <c r="C30" i="7"/>
  <c r="C31" i="7"/>
  <c r="C32" i="7"/>
  <c r="C33" i="7"/>
  <c r="C34" i="7"/>
  <c r="C35" i="7"/>
  <c r="C36" i="7"/>
  <c r="C37" i="7"/>
  <c r="C38" i="7"/>
  <c r="A25" i="7"/>
  <c r="A26" i="7" s="1"/>
  <c r="A27" i="7" s="1"/>
  <c r="A28" i="7" s="1"/>
  <c r="A29" i="7" s="1"/>
  <c r="A30" i="7" s="1"/>
  <c r="A31" i="7" s="1"/>
  <c r="A32" i="7" s="1"/>
  <c r="A33" i="7" s="1"/>
  <c r="A34" i="7" s="1"/>
  <c r="A35" i="7" s="1"/>
  <c r="A36" i="7" s="1"/>
  <c r="A37" i="7" s="1"/>
  <c r="A38" i="7" s="1"/>
  <c r="K1" i="3"/>
  <c r="H1" i="3" s="1"/>
  <c r="K15" i="3"/>
  <c r="H15" i="3" s="1"/>
  <c r="G1" i="3"/>
  <c r="C50" i="1"/>
  <c r="C51" i="1" s="1"/>
  <c r="C52" i="1" s="1"/>
  <c r="C53" i="1" s="1"/>
  <c r="C54" i="1" s="1"/>
  <c r="C55" i="1" s="1"/>
  <c r="K16" i="1"/>
  <c r="H16" i="1" s="1"/>
  <c r="K1" i="1"/>
  <c r="H1" i="1" s="1"/>
  <c r="G1" i="1"/>
  <c r="D65" i="3"/>
  <c r="G50" i="3" s="1"/>
  <c r="C65" i="3"/>
  <c r="E51" i="3" s="1"/>
  <c r="E36" i="7" l="1"/>
  <c r="H12" i="3"/>
  <c r="H14" i="1"/>
  <c r="D36" i="7"/>
  <c r="H26" i="3"/>
  <c r="H29" i="1"/>
  <c r="E32" i="7"/>
  <c r="H25" i="1"/>
  <c r="H10" i="1"/>
  <c r="H22" i="3"/>
  <c r="H8" i="3"/>
  <c r="H6" i="1"/>
  <c r="H21" i="1"/>
  <c r="H13" i="1"/>
  <c r="D35" i="7"/>
  <c r="H25" i="3"/>
  <c r="H28" i="1"/>
  <c r="H11" i="3"/>
  <c r="E35" i="7"/>
  <c r="H20" i="3"/>
  <c r="H9" i="1"/>
  <c r="H7" i="3"/>
  <c r="H21" i="3"/>
  <c r="H6" i="3"/>
  <c r="H24" i="1"/>
  <c r="E31" i="7"/>
  <c r="T32" i="1" s="1"/>
  <c r="E38" i="7"/>
  <c r="D38" i="7"/>
  <c r="H24" i="3"/>
  <c r="H27" i="1"/>
  <c r="H12" i="1"/>
  <c r="H10" i="3"/>
  <c r="E34" i="7"/>
  <c r="D34" i="7"/>
  <c r="H23" i="1"/>
  <c r="H8" i="1"/>
  <c r="E37" i="7"/>
  <c r="D37" i="7"/>
  <c r="H9" i="3"/>
  <c r="H11" i="1"/>
  <c r="E33" i="7"/>
  <c r="D33" i="7"/>
  <c r="T29" i="3" s="1"/>
  <c r="H23" i="3"/>
  <c r="H26" i="1"/>
  <c r="H7" i="1"/>
  <c r="H22" i="1"/>
  <c r="T33" i="1"/>
  <c r="T30" i="3"/>
  <c r="U16" i="1"/>
  <c r="U15" i="3" s="1"/>
  <c r="B32" i="3" s="1"/>
  <c r="U1" i="1"/>
  <c r="U1" i="3" s="1"/>
  <c r="C32" i="3" s="1"/>
  <c r="G59" i="3"/>
  <c r="G51" i="3"/>
  <c r="G61" i="3"/>
  <c r="G53" i="3"/>
  <c r="G63" i="3"/>
  <c r="G55" i="3"/>
  <c r="G57" i="3"/>
  <c r="E50" i="3"/>
  <c r="E62" i="3"/>
  <c r="E60" i="3"/>
  <c r="E58" i="3"/>
  <c r="E56" i="3"/>
  <c r="E54" i="3"/>
  <c r="E52" i="3"/>
  <c r="E64" i="3"/>
  <c r="E63" i="3"/>
  <c r="E61" i="3"/>
  <c r="E59" i="3"/>
  <c r="E57" i="3"/>
  <c r="E55" i="3"/>
  <c r="E53" i="3"/>
  <c r="G64" i="3"/>
  <c r="G62" i="3"/>
  <c r="G60" i="3"/>
  <c r="G58" i="3"/>
  <c r="G56" i="3"/>
  <c r="G54" i="3"/>
  <c r="G52" i="3"/>
  <c r="C24" i="7"/>
  <c r="B34" i="1" l="1"/>
  <c r="C34" i="1"/>
  <c r="E65" i="3"/>
  <c r="G65" i="3"/>
  <c r="C34" i="3"/>
  <c r="C35" i="3"/>
  <c r="C36" i="3"/>
  <c r="C37" i="3"/>
  <c r="C38" i="3"/>
  <c r="C33" i="3"/>
  <c r="B34" i="3"/>
  <c r="B35" i="3"/>
  <c r="B36" i="3"/>
  <c r="B37" i="3"/>
  <c r="B38" i="3"/>
  <c r="B33" i="3"/>
  <c r="B36" i="1"/>
  <c r="C36" i="1"/>
  <c r="B37" i="1"/>
  <c r="C37" i="1"/>
  <c r="B38" i="1"/>
  <c r="C38" i="1"/>
  <c r="B39" i="1"/>
  <c r="C39" i="1"/>
  <c r="B40" i="1"/>
  <c r="C40" i="1"/>
  <c r="B41" i="1"/>
  <c r="C41" i="1"/>
  <c r="B35" i="1"/>
  <c r="C35" i="1"/>
  <c r="P26" i="3"/>
  <c r="P25" i="3"/>
  <c r="P24" i="3"/>
  <c r="P23" i="3"/>
  <c r="P22" i="3"/>
  <c r="P21" i="3"/>
  <c r="O21" i="3"/>
  <c r="O22" i="3" s="1"/>
  <c r="S20" i="3"/>
  <c r="P20" i="3"/>
  <c r="C43" i="3" l="1"/>
  <c r="D40" i="1"/>
  <c r="D38" i="1"/>
  <c r="G36" i="1"/>
  <c r="H36" i="1" s="1"/>
  <c r="G39" i="1"/>
  <c r="M31" i="1"/>
  <c r="D37" i="3"/>
  <c r="D33" i="3"/>
  <c r="D36" i="3"/>
  <c r="D38" i="3"/>
  <c r="D34" i="3"/>
  <c r="D35" i="3"/>
  <c r="G41" i="1"/>
  <c r="G37" i="1"/>
  <c r="G38" i="1"/>
  <c r="D36" i="1"/>
  <c r="G40" i="1"/>
  <c r="D39" i="1"/>
  <c r="D35" i="1"/>
  <c r="D37" i="1"/>
  <c r="D41" i="1"/>
  <c r="O23" i="3"/>
  <c r="S22" i="3"/>
  <c r="S21" i="3"/>
  <c r="P29" i="1"/>
  <c r="P28" i="1"/>
  <c r="P27" i="1"/>
  <c r="P26" i="1"/>
  <c r="P25" i="1"/>
  <c r="P24" i="1"/>
  <c r="P23" i="1"/>
  <c r="P22" i="1"/>
  <c r="P21" i="1"/>
  <c r="O21" i="1"/>
  <c r="O22" i="1" s="1"/>
  <c r="S6" i="3"/>
  <c r="P7" i="3"/>
  <c r="P8" i="3"/>
  <c r="P9" i="3"/>
  <c r="P10" i="3"/>
  <c r="P11" i="3"/>
  <c r="P12" i="3"/>
  <c r="P6" i="3"/>
  <c r="O7" i="3"/>
  <c r="S7" i="3" s="1"/>
  <c r="H37" i="1" l="1"/>
  <c r="H38" i="1" s="1"/>
  <c r="I33" i="3"/>
  <c r="M29" i="3"/>
  <c r="I35" i="1"/>
  <c r="O24" i="3"/>
  <c r="S23" i="3"/>
  <c r="O23" i="1"/>
  <c r="S22" i="1"/>
  <c r="S21" i="1"/>
  <c r="O8" i="3"/>
  <c r="S8" i="3" s="1"/>
  <c r="O6" i="1"/>
  <c r="O7" i="1" s="1"/>
  <c r="B56" i="1"/>
  <c r="D50" i="1"/>
  <c r="D51" i="1"/>
  <c r="D52" i="1"/>
  <c r="D53" i="1"/>
  <c r="D54" i="1"/>
  <c r="D55" i="1"/>
  <c r="D49" i="1"/>
  <c r="P7" i="1"/>
  <c r="P8" i="1"/>
  <c r="P9" i="1"/>
  <c r="P10" i="1"/>
  <c r="P11" i="1"/>
  <c r="P12" i="1"/>
  <c r="P13" i="1"/>
  <c r="P14" i="1"/>
  <c r="P6" i="1"/>
  <c r="I37" i="1" l="1"/>
  <c r="I36" i="1"/>
  <c r="G37" i="3"/>
  <c r="G38" i="3"/>
  <c r="G36" i="3"/>
  <c r="G35" i="3"/>
  <c r="G34" i="3"/>
  <c r="H34" i="3" s="1"/>
  <c r="I34" i="3" s="1"/>
  <c r="I38" i="1"/>
  <c r="H39" i="1"/>
  <c r="O25" i="3"/>
  <c r="S24" i="3"/>
  <c r="O24" i="1"/>
  <c r="S23" i="1"/>
  <c r="O9" i="3"/>
  <c r="S9" i="3" s="1"/>
  <c r="D56" i="1"/>
  <c r="D58" i="1" s="1"/>
  <c r="S7" i="1"/>
  <c r="O8" i="1"/>
  <c r="S6" i="1"/>
  <c r="E21" i="1" l="1"/>
  <c r="G21" i="1" s="1"/>
  <c r="I21" i="1" s="1"/>
  <c r="J21" i="1" s="1"/>
  <c r="E26" i="1"/>
  <c r="G26" i="1" s="1"/>
  <c r="I26" i="1" s="1"/>
  <c r="J26" i="1" s="1"/>
  <c r="E8" i="1"/>
  <c r="G8" i="1" s="1"/>
  <c r="I8" i="1" s="1"/>
  <c r="J8" i="1" s="1"/>
  <c r="E12" i="1"/>
  <c r="G12" i="1" s="1"/>
  <c r="I12" i="1" s="1"/>
  <c r="J12" i="1" s="1"/>
  <c r="E22" i="1"/>
  <c r="G22" i="1" s="1"/>
  <c r="I22" i="1" s="1"/>
  <c r="J22" i="1" s="1"/>
  <c r="E7" i="1"/>
  <c r="G7" i="1" s="1"/>
  <c r="I7" i="1" s="1"/>
  <c r="J7" i="1" s="1"/>
  <c r="E11" i="1"/>
  <c r="E27" i="1"/>
  <c r="E23" i="1"/>
  <c r="G23" i="1" s="1"/>
  <c r="I23" i="1" s="1"/>
  <c r="J23" i="1" s="1"/>
  <c r="E10" i="1"/>
  <c r="E14" i="1"/>
  <c r="E28" i="1"/>
  <c r="G28" i="1" s="1"/>
  <c r="I28" i="1" s="1"/>
  <c r="J28" i="1" s="1"/>
  <c r="E24" i="1"/>
  <c r="G24" i="1" s="1"/>
  <c r="I24" i="1" s="1"/>
  <c r="J24" i="1" s="1"/>
  <c r="E6" i="1"/>
  <c r="G6" i="1" s="1"/>
  <c r="I6" i="1" s="1"/>
  <c r="J6" i="1" s="1"/>
  <c r="E9" i="1"/>
  <c r="E13" i="1"/>
  <c r="E29" i="1"/>
  <c r="G29" i="1" s="1"/>
  <c r="I29" i="1" s="1"/>
  <c r="J29" i="1" s="1"/>
  <c r="E25" i="1"/>
  <c r="G25" i="1" s="1"/>
  <c r="I25" i="1" s="1"/>
  <c r="J25" i="1" s="1"/>
  <c r="Q21" i="1"/>
  <c r="R21" i="1" s="1"/>
  <c r="T21" i="1" s="1"/>
  <c r="U21" i="1" s="1"/>
  <c r="K21" i="1" s="1"/>
  <c r="Q22" i="1"/>
  <c r="R22" i="1" s="1"/>
  <c r="T22" i="1" s="1"/>
  <c r="U22" i="1" s="1"/>
  <c r="K22" i="1" s="1"/>
  <c r="Q23" i="1"/>
  <c r="R23" i="1" s="1"/>
  <c r="T23" i="1" s="1"/>
  <c r="H35" i="3"/>
  <c r="H40" i="1"/>
  <c r="I39" i="1"/>
  <c r="O26" i="3"/>
  <c r="S25" i="3"/>
  <c r="O25" i="1"/>
  <c r="S24" i="1"/>
  <c r="Q24" i="1"/>
  <c r="R24" i="1" s="1"/>
  <c r="Q8" i="1"/>
  <c r="R8" i="1" s="1"/>
  <c r="Q7" i="1"/>
  <c r="R7" i="1" s="1"/>
  <c r="T7" i="1" s="1"/>
  <c r="U7" i="1" s="1"/>
  <c r="Q6" i="1"/>
  <c r="R6" i="1" s="1"/>
  <c r="T6" i="1" s="1"/>
  <c r="U6" i="1" s="1"/>
  <c r="C42" i="3"/>
  <c r="C44" i="3" s="1"/>
  <c r="O10" i="3"/>
  <c r="S10" i="3" s="1"/>
  <c r="O9" i="1"/>
  <c r="S8" i="1"/>
  <c r="G10" i="1" l="1"/>
  <c r="I10" i="1" s="1"/>
  <c r="J10" i="1" s="1"/>
  <c r="E37" i="1"/>
  <c r="J37" i="1" s="1"/>
  <c r="M37" i="1" s="1"/>
  <c r="G9" i="1"/>
  <c r="I9" i="1" s="1"/>
  <c r="J9" i="1" s="1"/>
  <c r="E36" i="1"/>
  <c r="J36" i="1" s="1"/>
  <c r="M36" i="1" s="1"/>
  <c r="G14" i="1"/>
  <c r="I14" i="1" s="1"/>
  <c r="J14" i="1" s="1"/>
  <c r="E41" i="1"/>
  <c r="G11" i="1"/>
  <c r="I11" i="1" s="1"/>
  <c r="J11" i="1" s="1"/>
  <c r="E38" i="1"/>
  <c r="J38" i="1" s="1"/>
  <c r="M38" i="1" s="1"/>
  <c r="E40" i="1"/>
  <c r="G13" i="1"/>
  <c r="I13" i="1" s="1"/>
  <c r="J13" i="1" s="1"/>
  <c r="E39" i="1"/>
  <c r="J39" i="1" s="1"/>
  <c r="M39" i="1" s="1"/>
  <c r="G27" i="1"/>
  <c r="I27" i="1" s="1"/>
  <c r="J27" i="1" s="1"/>
  <c r="E6" i="3"/>
  <c r="G6" i="3" s="1"/>
  <c r="I6" i="3" s="1"/>
  <c r="J6" i="3" s="1"/>
  <c r="E25" i="3"/>
  <c r="G25" i="3" s="1"/>
  <c r="I25" i="3" s="1"/>
  <c r="J25" i="3" s="1"/>
  <c r="E23" i="3"/>
  <c r="G23" i="3" s="1"/>
  <c r="I23" i="3" s="1"/>
  <c r="J23" i="3" s="1"/>
  <c r="E21" i="3"/>
  <c r="G21" i="3" s="1"/>
  <c r="I21" i="3" s="1"/>
  <c r="J21" i="3" s="1"/>
  <c r="E26" i="3"/>
  <c r="G26" i="3" s="1"/>
  <c r="I26" i="3" s="1"/>
  <c r="J26" i="3" s="1"/>
  <c r="E24" i="3"/>
  <c r="G24" i="3" s="1"/>
  <c r="I24" i="3" s="1"/>
  <c r="J24" i="3" s="1"/>
  <c r="E22" i="3"/>
  <c r="G22" i="3" s="1"/>
  <c r="I22" i="3" s="1"/>
  <c r="J22" i="3" s="1"/>
  <c r="E20" i="3"/>
  <c r="G20" i="3" s="1"/>
  <c r="I20" i="3" s="1"/>
  <c r="J20" i="3" s="1"/>
  <c r="E8" i="3"/>
  <c r="G8" i="3" s="1"/>
  <c r="I8" i="3" s="1"/>
  <c r="J8" i="3" s="1"/>
  <c r="E10" i="3"/>
  <c r="E12" i="3"/>
  <c r="E7" i="3"/>
  <c r="G7" i="3" s="1"/>
  <c r="I7" i="3" s="1"/>
  <c r="J7" i="3" s="1"/>
  <c r="E9" i="3"/>
  <c r="E11" i="3"/>
  <c r="H36" i="3"/>
  <c r="I35" i="3"/>
  <c r="H41" i="1"/>
  <c r="I41" i="1" s="1"/>
  <c r="I40" i="1"/>
  <c r="U23" i="1"/>
  <c r="K23" i="1" s="1"/>
  <c r="Q20" i="3"/>
  <c r="R20" i="3" s="1"/>
  <c r="T20" i="3" s="1"/>
  <c r="Q22" i="3"/>
  <c r="R22" i="3" s="1"/>
  <c r="T22" i="3" s="1"/>
  <c r="Q21" i="3"/>
  <c r="R21" i="3" s="1"/>
  <c r="T21" i="3" s="1"/>
  <c r="Q23" i="3"/>
  <c r="R23" i="3" s="1"/>
  <c r="T23" i="3" s="1"/>
  <c r="Q24" i="3"/>
  <c r="R24" i="3" s="1"/>
  <c r="T24" i="3" s="1"/>
  <c r="Q25" i="3"/>
  <c r="R25" i="3" s="1"/>
  <c r="T25" i="3" s="1"/>
  <c r="S26" i="3"/>
  <c r="Q26" i="3"/>
  <c r="R26" i="3" s="1"/>
  <c r="O26" i="1"/>
  <c r="S25" i="1"/>
  <c r="Q25" i="1"/>
  <c r="R25" i="1" s="1"/>
  <c r="T24" i="1"/>
  <c r="Q10" i="3"/>
  <c r="R10" i="3" s="1"/>
  <c r="Q7" i="3"/>
  <c r="R7" i="3" s="1"/>
  <c r="T7" i="3" s="1"/>
  <c r="Q9" i="3"/>
  <c r="R9" i="3" s="1"/>
  <c r="T9" i="3" s="1"/>
  <c r="Q8" i="3"/>
  <c r="R8" i="3" s="1"/>
  <c r="T8" i="3" s="1"/>
  <c r="Q6" i="3"/>
  <c r="R6" i="3" s="1"/>
  <c r="T6" i="3" s="1"/>
  <c r="T8" i="1"/>
  <c r="U8" i="1" s="1"/>
  <c r="O11" i="3"/>
  <c r="S11" i="3" s="1"/>
  <c r="O10" i="1"/>
  <c r="S9" i="1"/>
  <c r="Q9" i="1"/>
  <c r="R9" i="1" s="1"/>
  <c r="K37" i="1" l="1"/>
  <c r="K39" i="1"/>
  <c r="K38" i="1"/>
  <c r="K36" i="1"/>
  <c r="G12" i="3"/>
  <c r="I12" i="3" s="1"/>
  <c r="J12" i="3" s="1"/>
  <c r="E37" i="3"/>
  <c r="E38" i="3" s="1"/>
  <c r="G11" i="3"/>
  <c r="I11" i="3" s="1"/>
  <c r="J11" i="3" s="1"/>
  <c r="E36" i="3"/>
  <c r="G10" i="3"/>
  <c r="I10" i="3" s="1"/>
  <c r="J10" i="3" s="1"/>
  <c r="E35" i="3"/>
  <c r="G9" i="3"/>
  <c r="I9" i="3" s="1"/>
  <c r="J9" i="3" s="1"/>
  <c r="E34" i="3"/>
  <c r="J34" i="3" s="1"/>
  <c r="M34" i="3" s="1"/>
  <c r="J41" i="1"/>
  <c r="M41" i="1" s="1"/>
  <c r="J40" i="1"/>
  <c r="M40" i="1" s="1"/>
  <c r="Q11" i="3"/>
  <c r="R11" i="3" s="1"/>
  <c r="H37" i="3"/>
  <c r="I36" i="3"/>
  <c r="U24" i="1"/>
  <c r="K24" i="1" s="1"/>
  <c r="U24" i="3"/>
  <c r="U20" i="3"/>
  <c r="K20" i="3" s="1"/>
  <c r="U23" i="3"/>
  <c r="K23" i="3" s="1"/>
  <c r="U25" i="3"/>
  <c r="U22" i="3"/>
  <c r="K22" i="3" s="1"/>
  <c r="U21" i="3"/>
  <c r="K21" i="3" s="1"/>
  <c r="T26" i="3"/>
  <c r="O27" i="1"/>
  <c r="S26" i="1"/>
  <c r="Q26" i="1"/>
  <c r="R26" i="1" s="1"/>
  <c r="T25" i="1"/>
  <c r="U9" i="3"/>
  <c r="K9" i="3" s="1"/>
  <c r="U6" i="3"/>
  <c r="K6" i="3" s="1"/>
  <c r="U8" i="3"/>
  <c r="K8" i="3" s="1"/>
  <c r="U7" i="3"/>
  <c r="K7" i="3" s="1"/>
  <c r="T9" i="1"/>
  <c r="U9" i="1" s="1"/>
  <c r="O12" i="3"/>
  <c r="T10" i="3"/>
  <c r="O11" i="1"/>
  <c r="S10" i="1"/>
  <c r="Q10" i="1"/>
  <c r="R10" i="1" s="1"/>
  <c r="K34" i="3" l="1"/>
  <c r="K24" i="3"/>
  <c r="K25" i="3"/>
  <c r="K40" i="1"/>
  <c r="K41" i="1"/>
  <c r="J35" i="3"/>
  <c r="M35" i="3" s="1"/>
  <c r="S12" i="3"/>
  <c r="Q12" i="3"/>
  <c r="R12" i="3" s="1"/>
  <c r="I37" i="3"/>
  <c r="H38" i="3"/>
  <c r="I38" i="3" s="1"/>
  <c r="U26" i="3"/>
  <c r="K26" i="3" s="1"/>
  <c r="U25" i="1"/>
  <c r="K25" i="1" s="1"/>
  <c r="O28" i="1"/>
  <c r="S27" i="1"/>
  <c r="Q27" i="1"/>
  <c r="R27" i="1" s="1"/>
  <c r="T26" i="1"/>
  <c r="U10" i="3"/>
  <c r="K10" i="3" s="1"/>
  <c r="T10" i="1"/>
  <c r="U10" i="1" s="1"/>
  <c r="K10" i="1" s="1"/>
  <c r="T11" i="3"/>
  <c r="O12" i="1"/>
  <c r="S11" i="1"/>
  <c r="Q11" i="1"/>
  <c r="R11" i="1" s="1"/>
  <c r="M42" i="1"/>
  <c r="K35" i="3" l="1"/>
  <c r="J37" i="3"/>
  <c r="M37" i="3" s="1"/>
  <c r="J36" i="3"/>
  <c r="M36" i="3" s="1"/>
  <c r="U26" i="1"/>
  <c r="K26" i="1" s="1"/>
  <c r="T27" i="1"/>
  <c r="O29" i="1"/>
  <c r="S28" i="1"/>
  <c r="Q28" i="1"/>
  <c r="R28" i="1" s="1"/>
  <c r="U11" i="3"/>
  <c r="K11" i="3" s="1"/>
  <c r="T11" i="1"/>
  <c r="U11" i="1" s="1"/>
  <c r="K11" i="1" s="1"/>
  <c r="T12" i="3"/>
  <c r="U12" i="3" s="1"/>
  <c r="O13" i="1"/>
  <c r="S12" i="1"/>
  <c r="Q12" i="1"/>
  <c r="R12" i="1" s="1"/>
  <c r="K12" i="3" l="1"/>
  <c r="K37" i="3"/>
  <c r="K36" i="3"/>
  <c r="T12" i="1"/>
  <c r="U12" i="1" s="1"/>
  <c r="K12" i="1" s="1"/>
  <c r="U27" i="1"/>
  <c r="K27" i="1" s="1"/>
  <c r="S29" i="1"/>
  <c r="Q29" i="1"/>
  <c r="R29" i="1" s="1"/>
  <c r="T28" i="1"/>
  <c r="O14" i="1"/>
  <c r="S13" i="1"/>
  <c r="Q13" i="1"/>
  <c r="R13" i="1" s="1"/>
  <c r="U28" i="1" l="1"/>
  <c r="K28" i="1" s="1"/>
  <c r="T29" i="1"/>
  <c r="T13" i="1"/>
  <c r="U13" i="1" s="1"/>
  <c r="K13" i="1" s="1"/>
  <c r="S14" i="1"/>
  <c r="Q14" i="1"/>
  <c r="R14" i="1" s="1"/>
  <c r="U29" i="1" l="1"/>
  <c r="K29" i="1" s="1"/>
  <c r="T14" i="1"/>
  <c r="U14" i="1" s="1"/>
  <c r="K14" i="1" s="1"/>
  <c r="K6" i="1"/>
  <c r="K7" i="1"/>
  <c r="K8" i="1"/>
  <c r="K9" i="1"/>
  <c r="S32" i="1"/>
  <c r="M39" i="3"/>
  <c r="S30" i="3"/>
  <c r="S29" i="3"/>
  <c r="S33" i="1"/>
  <c r="L41" i="1" l="1"/>
  <c r="L40" i="1"/>
  <c r="U32" i="1"/>
  <c r="L36" i="1"/>
  <c r="L38" i="1"/>
  <c r="L39" i="1"/>
  <c r="L37" i="1"/>
  <c r="U33" i="1"/>
  <c r="L37" i="3"/>
  <c r="L35" i="3"/>
  <c r="U30" i="3"/>
  <c r="L34" i="3"/>
  <c r="L36" i="3"/>
  <c r="U29" i="3"/>
</calcChain>
</file>

<file path=xl/comments1.xml><?xml version="1.0" encoding="utf-8"?>
<comments xmlns="http://schemas.openxmlformats.org/spreadsheetml/2006/main">
  <authors>
    <author>Ian Timaeus</author>
  </authors>
  <commentList>
    <comment ref="I2" authorId="0">
      <text>
        <r>
          <rPr>
            <sz val="9"/>
            <color indexed="81"/>
            <rFont val="Tahoma"/>
            <family val="2"/>
          </rPr>
          <t>Pour utiliser une autre table type de mortalité, sélectionnez «Autre» sur l'Introduction (cellule D11) et entrez ses logits dans ces cellules.</t>
        </r>
      </text>
    </comment>
    <comment ref="K27" authorId="0">
      <text>
        <r>
          <rPr>
            <sz val="9"/>
            <color indexed="81"/>
            <rFont val="Tahoma"/>
            <family val="2"/>
          </rPr>
          <t xml:space="preserve">N.B. Cette équation estime que </t>
        </r>
        <r>
          <rPr>
            <i/>
            <sz val="12"/>
            <color indexed="81"/>
            <rFont val="Times New Roman"/>
            <family val="1"/>
          </rPr>
          <t>l</t>
        </r>
        <r>
          <rPr>
            <sz val="9"/>
            <color indexed="81"/>
            <rFont val="Tahoma"/>
            <family val="2"/>
          </rPr>
          <t>(35+n+5)/</t>
        </r>
        <r>
          <rPr>
            <i/>
            <sz val="12"/>
            <color indexed="81"/>
            <rFont val="Times New Roman"/>
            <family val="1"/>
          </rPr>
          <t>l</t>
        </r>
        <r>
          <rPr>
            <sz val="9"/>
            <color indexed="81"/>
            <rFont val="Tahoma"/>
            <family val="2"/>
          </rPr>
          <t xml:space="preserve">(35),  et non pas </t>
        </r>
        <r>
          <rPr>
            <i/>
            <sz val="12"/>
            <color indexed="81"/>
            <rFont val="Times New Roman"/>
            <family val="1"/>
          </rPr>
          <t>l</t>
        </r>
        <r>
          <rPr>
            <sz val="9"/>
            <color indexed="81"/>
            <rFont val="Tahoma"/>
            <family val="2"/>
          </rPr>
          <t>(35+n)/</t>
        </r>
        <r>
          <rPr>
            <i/>
            <sz val="12"/>
            <color indexed="81"/>
            <rFont val="Times New Roman"/>
            <family val="1"/>
          </rPr>
          <t>l</t>
        </r>
        <r>
          <rPr>
            <sz val="9"/>
            <color indexed="81"/>
            <rFont val="Tahoma"/>
            <family val="2"/>
          </rPr>
          <t xml:space="preserve">(35). Il est adapté aux mêmes données que les équations dans le Timaeus (1992), mais il donne des estimations plus robustes que d'estimer </t>
        </r>
        <r>
          <rPr>
            <i/>
            <sz val="12"/>
            <color indexed="81"/>
            <rFont val="Times New Roman"/>
            <family val="1"/>
          </rPr>
          <t>l</t>
        </r>
        <r>
          <rPr>
            <sz val="9"/>
            <color indexed="81"/>
            <rFont val="Tahoma"/>
            <family val="2"/>
          </rPr>
          <t>(45)/</t>
        </r>
        <r>
          <rPr>
            <i/>
            <sz val="12"/>
            <color indexed="81"/>
            <rFont val="Times New Roman"/>
            <family val="1"/>
          </rPr>
          <t>l</t>
        </r>
        <r>
          <rPr>
            <sz val="9"/>
            <color indexed="81"/>
            <rFont val="Tahoma"/>
            <family val="2"/>
          </rPr>
          <t>(35) en utilisant l'équation publié.</t>
        </r>
      </text>
    </comment>
  </commentList>
</comments>
</file>

<file path=xl/comments2.xml><?xml version="1.0" encoding="utf-8"?>
<comments xmlns="http://schemas.openxmlformats.org/spreadsheetml/2006/main">
  <authors>
    <author>Ian Timaeus</author>
  </authors>
  <commentList>
    <comment ref="G6" authorId="0">
      <text>
        <r>
          <rPr>
            <sz val="9"/>
            <color indexed="81"/>
            <rFont val="Tahoma"/>
            <family val="2"/>
          </rPr>
          <t xml:space="preserve">N.B. </t>
        </r>
        <r>
          <rPr>
            <i/>
            <sz val="12"/>
            <color indexed="81"/>
            <rFont val="Times New Roman"/>
            <family val="1"/>
          </rPr>
          <t>l</t>
        </r>
        <r>
          <rPr>
            <sz val="9"/>
            <color indexed="81"/>
            <rFont val="Tahoma"/>
            <family val="2"/>
          </rPr>
          <t>(50)/</t>
        </r>
        <r>
          <rPr>
            <i/>
            <sz val="12"/>
            <color indexed="81"/>
            <rFont val="Times New Roman"/>
            <family val="1"/>
          </rPr>
          <t>l</t>
        </r>
        <r>
          <rPr>
            <sz val="9"/>
            <color indexed="81"/>
            <rFont val="Tahoma"/>
            <family val="2"/>
          </rPr>
          <t xml:space="preserve">(35) - estimée en utilisant une équation de régression inédite qui est cohérent avec ceux dans Timaeus (1992). Cela donne des estimations plus robustes que d’estimer </t>
        </r>
        <r>
          <rPr>
            <i/>
            <sz val="12"/>
            <color indexed="81"/>
            <rFont val="Times New Roman"/>
            <family val="1"/>
          </rPr>
          <t>l</t>
        </r>
        <r>
          <rPr>
            <sz val="9"/>
            <color indexed="81"/>
            <rFont val="Tahoma"/>
            <family val="2"/>
          </rPr>
          <t>(45)/</t>
        </r>
        <r>
          <rPr>
            <i/>
            <sz val="12"/>
            <color indexed="81"/>
            <rFont val="Times New Roman"/>
            <family val="1"/>
          </rPr>
          <t>l</t>
        </r>
        <r>
          <rPr>
            <sz val="9"/>
            <color indexed="81"/>
            <rFont val="Tahoma"/>
            <family val="2"/>
          </rPr>
          <t>(35) en utilisant l'équation publié.</t>
        </r>
      </text>
    </comment>
    <comment ref="G20" authorId="0">
      <text>
        <r>
          <rPr>
            <sz val="9"/>
            <color indexed="81"/>
            <rFont val="Tahoma"/>
            <family val="2"/>
          </rPr>
          <t xml:space="preserve">N.B. </t>
        </r>
        <r>
          <rPr>
            <i/>
            <sz val="12"/>
            <color indexed="81"/>
            <rFont val="Times New Roman"/>
            <family val="1"/>
          </rPr>
          <t>l</t>
        </r>
        <r>
          <rPr>
            <sz val="9"/>
            <color indexed="81"/>
            <rFont val="Tahoma"/>
            <family val="2"/>
          </rPr>
          <t>(50)/</t>
        </r>
        <r>
          <rPr>
            <i/>
            <sz val="12"/>
            <color indexed="81"/>
            <rFont val="Times New Roman"/>
            <family val="1"/>
          </rPr>
          <t>l</t>
        </r>
        <r>
          <rPr>
            <sz val="9"/>
            <color indexed="81"/>
            <rFont val="Tahoma"/>
            <family val="2"/>
          </rPr>
          <t xml:space="preserve">(35) - estimée en utilisant une équation de régression inédite qui est cohérent avec ceux dans Timaeus (1992). Cela donne des estimations plus robustes que d’estimer </t>
        </r>
        <r>
          <rPr>
            <i/>
            <sz val="12"/>
            <color indexed="81"/>
            <rFont val="Times New Roman"/>
            <family val="1"/>
          </rPr>
          <t>l</t>
        </r>
        <r>
          <rPr>
            <sz val="9"/>
            <color indexed="81"/>
            <rFont val="Tahoma"/>
            <family val="2"/>
          </rPr>
          <t>(45)/</t>
        </r>
        <r>
          <rPr>
            <i/>
            <sz val="12"/>
            <color indexed="81"/>
            <rFont val="Times New Roman"/>
            <family val="1"/>
          </rPr>
          <t>l</t>
        </r>
        <r>
          <rPr>
            <sz val="9"/>
            <color indexed="81"/>
            <rFont val="Tahoma"/>
            <family val="2"/>
          </rPr>
          <t>(35) en utilisant l'équation publié.</t>
        </r>
      </text>
    </comment>
  </commentList>
</comments>
</file>

<file path=xl/sharedStrings.xml><?xml version="1.0" encoding="utf-8"?>
<sst xmlns="http://schemas.openxmlformats.org/spreadsheetml/2006/main" count="471" uniqueCount="186">
  <si>
    <t>Age</t>
  </si>
  <si>
    <t>Total</t>
  </si>
  <si>
    <t>Proportion</t>
  </si>
  <si>
    <t>Date</t>
  </si>
  <si>
    <t xml:space="preserve"> 5 - 9</t>
  </si>
  <si>
    <t>10-14</t>
  </si>
  <si>
    <t>15-19</t>
  </si>
  <si>
    <t>20-24</t>
  </si>
  <si>
    <t>25-29</t>
  </si>
  <si>
    <t>30-34</t>
  </si>
  <si>
    <t>35-39</t>
  </si>
  <si>
    <t>40-44</t>
  </si>
  <si>
    <t>45-49</t>
  </si>
  <si>
    <t>n</t>
  </si>
  <si>
    <t>10</t>
  </si>
  <si>
    <t>15</t>
  </si>
  <si>
    <t>20</t>
  </si>
  <si>
    <t>25</t>
  </si>
  <si>
    <t>30</t>
  </si>
  <si>
    <t>35</t>
  </si>
  <si>
    <t>40</t>
  </si>
  <si>
    <t>45</t>
  </si>
  <si>
    <t>50</t>
  </si>
  <si>
    <t>Totals:</t>
  </si>
  <si>
    <t>Standard</t>
  </si>
  <si>
    <t>α =</t>
  </si>
  <si>
    <r>
      <rPr>
        <b/>
        <i/>
        <sz val="11"/>
        <rFont val="Arial Narrow"/>
        <family val="2"/>
      </rPr>
      <t>S</t>
    </r>
    <r>
      <rPr>
        <b/>
        <sz val="11"/>
        <rFont val="Arial Narrow"/>
        <family val="2"/>
      </rPr>
      <t>(</t>
    </r>
    <r>
      <rPr>
        <b/>
        <i/>
        <sz val="11"/>
        <rFont val="Arial Narrow"/>
        <family val="2"/>
      </rPr>
      <t>n</t>
    </r>
    <r>
      <rPr>
        <b/>
        <sz val="11"/>
        <rFont val="Arial Narrow"/>
        <family val="2"/>
      </rPr>
      <t>)</t>
    </r>
  </si>
  <si>
    <r>
      <rPr>
        <b/>
        <i/>
        <sz val="11"/>
        <rFont val="Arial Narrow"/>
        <family val="2"/>
      </rPr>
      <t>C</t>
    </r>
    <r>
      <rPr>
        <b/>
        <sz val="11"/>
        <rFont val="Arial Narrow"/>
        <family val="2"/>
      </rPr>
      <t>(</t>
    </r>
    <r>
      <rPr>
        <b/>
        <i/>
        <sz val="11"/>
        <rFont val="Arial Narrow"/>
        <family val="2"/>
      </rPr>
      <t>N</t>
    </r>
    <r>
      <rPr>
        <b/>
        <sz val="11"/>
        <rFont val="Arial Narrow"/>
        <family val="2"/>
      </rPr>
      <t>)</t>
    </r>
  </si>
  <si>
    <r>
      <rPr>
        <b/>
        <i/>
        <sz val="12"/>
        <rFont val="Times New Roman"/>
        <family val="1"/>
      </rPr>
      <t>l</t>
    </r>
    <r>
      <rPr>
        <b/>
        <i/>
        <vertAlign val="subscript"/>
        <sz val="11"/>
        <rFont val="Arial Narrow"/>
        <family val="2"/>
      </rPr>
      <t>s</t>
    </r>
    <r>
      <rPr>
        <b/>
        <sz val="11"/>
        <rFont val="Arial Narrow"/>
        <family val="2"/>
      </rPr>
      <t>(25+</t>
    </r>
    <r>
      <rPr>
        <b/>
        <i/>
        <sz val="11"/>
        <rFont val="Arial Narrow"/>
        <family val="2"/>
      </rPr>
      <t>n</t>
    </r>
    <r>
      <rPr>
        <b/>
        <sz val="11"/>
        <rFont val="Arial Narrow"/>
        <family val="2"/>
      </rPr>
      <t>)</t>
    </r>
  </si>
  <si>
    <r>
      <rPr>
        <b/>
        <i/>
        <sz val="11"/>
        <rFont val="Arial Narrow"/>
        <family val="2"/>
      </rPr>
      <t>Y</t>
    </r>
    <r>
      <rPr>
        <b/>
        <sz val="11"/>
        <rFont val="Arial Narrow"/>
        <family val="2"/>
      </rPr>
      <t>(</t>
    </r>
    <r>
      <rPr>
        <b/>
        <i/>
        <sz val="11"/>
        <rFont val="Arial Narrow"/>
        <family val="2"/>
      </rPr>
      <t>x</t>
    </r>
    <r>
      <rPr>
        <b/>
        <sz val="11"/>
        <rFont val="Arial Narrow"/>
        <family val="2"/>
      </rPr>
      <t>)</t>
    </r>
  </si>
  <si>
    <t>N</t>
  </si>
  <si>
    <r>
      <rPr>
        <b/>
        <i/>
        <sz val="11"/>
        <rFont val="Arial Narrow"/>
        <family val="2"/>
      </rPr>
      <t>B</t>
    </r>
    <r>
      <rPr>
        <b/>
        <sz val="11"/>
        <rFont val="Arial Narrow"/>
        <family val="2"/>
      </rPr>
      <t>(</t>
    </r>
    <r>
      <rPr>
        <b/>
        <i/>
        <sz val="11"/>
        <rFont val="Arial Narrow"/>
        <family val="2"/>
      </rPr>
      <t>i</t>
    </r>
    <r>
      <rPr>
        <b/>
        <sz val="11"/>
        <rFont val="Arial Narrow"/>
        <family val="2"/>
      </rPr>
      <t>)*</t>
    </r>
    <r>
      <rPr>
        <b/>
        <i/>
        <sz val="11"/>
        <rFont val="Arial Narrow"/>
        <family val="2"/>
      </rPr>
      <t>N</t>
    </r>
  </si>
  <si>
    <r>
      <rPr>
        <b/>
        <i/>
        <sz val="11"/>
        <rFont val="Arial Narrow"/>
        <family val="2"/>
      </rPr>
      <t>B</t>
    </r>
    <r>
      <rPr>
        <b/>
        <sz val="11"/>
        <rFont val="Arial Narrow"/>
        <family val="2"/>
      </rPr>
      <t>(</t>
    </r>
    <r>
      <rPr>
        <b/>
        <i/>
        <sz val="11"/>
        <rFont val="Arial Narrow"/>
        <family val="2"/>
      </rPr>
      <t>i</t>
    </r>
    <r>
      <rPr>
        <b/>
        <sz val="11"/>
        <rFont val="Arial Narrow"/>
        <family val="2"/>
      </rPr>
      <t>)</t>
    </r>
  </si>
  <si>
    <r>
      <rPr>
        <b/>
        <i/>
        <vertAlign val="subscript"/>
        <sz val="11"/>
        <rFont val="Arial Narrow"/>
        <family val="2"/>
      </rPr>
      <t>N</t>
    </r>
    <r>
      <rPr>
        <b/>
        <i/>
        <sz val="11"/>
        <rFont val="Arial Narrow"/>
        <family val="2"/>
      </rPr>
      <t>p</t>
    </r>
    <r>
      <rPr>
        <b/>
        <i/>
        <vertAlign val="subscript"/>
        <sz val="11"/>
        <rFont val="Arial Narrow"/>
        <family val="2"/>
      </rPr>
      <t>M</t>
    </r>
  </si>
  <si>
    <r>
      <rPr>
        <b/>
        <i/>
        <sz val="11"/>
        <rFont val="Arial Narrow"/>
        <family val="2"/>
      </rPr>
      <t>N</t>
    </r>
    <r>
      <rPr>
        <b/>
        <sz val="11"/>
        <rFont val="Arial Narrow"/>
        <family val="2"/>
      </rPr>
      <t>/2</t>
    </r>
  </si>
  <si>
    <t>T</t>
  </si>
  <si>
    <t>α</t>
  </si>
  <si>
    <t xml:space="preserve"> 5- 9</t>
  </si>
  <si>
    <r>
      <t>M</t>
    </r>
    <r>
      <rPr>
        <b/>
        <i/>
        <vertAlign val="superscript"/>
        <sz val="10"/>
        <rFont val="Arial Narrow"/>
        <family val="2"/>
      </rPr>
      <t>f</t>
    </r>
  </si>
  <si>
    <r>
      <t>M</t>
    </r>
    <r>
      <rPr>
        <b/>
        <i/>
        <vertAlign val="superscript"/>
        <sz val="12"/>
        <rFont val="Arial Narrow"/>
        <family val="2"/>
      </rPr>
      <t>m</t>
    </r>
  </si>
  <si>
    <r>
      <t>(</t>
    </r>
    <r>
      <rPr>
        <b/>
        <i/>
        <sz val="11"/>
        <rFont val="Arial Narrow"/>
        <family val="2"/>
      </rPr>
      <t>N</t>
    </r>
    <r>
      <rPr>
        <b/>
        <sz val="11"/>
        <rFont val="Arial Narrow"/>
        <family val="2"/>
      </rPr>
      <t>+0.75)/2</t>
    </r>
  </si>
  <si>
    <t xml:space="preserve"> 0- 4</t>
  </si>
  <si>
    <r>
      <rPr>
        <b/>
        <i/>
        <sz val="12"/>
        <rFont val="Times New Roman"/>
        <family val="1"/>
      </rPr>
      <t>l</t>
    </r>
    <r>
      <rPr>
        <b/>
        <i/>
        <vertAlign val="subscript"/>
        <sz val="11"/>
        <rFont val="Arial Narrow"/>
        <family val="2"/>
      </rPr>
      <t>s</t>
    </r>
    <r>
      <rPr>
        <b/>
        <sz val="11"/>
        <rFont val="Arial Narrow"/>
        <family val="2"/>
      </rPr>
      <t>(35+</t>
    </r>
    <r>
      <rPr>
        <b/>
        <i/>
        <sz val="11"/>
        <rFont val="Arial Narrow"/>
        <family val="2"/>
      </rPr>
      <t>n</t>
    </r>
    <r>
      <rPr>
        <b/>
        <sz val="11"/>
        <rFont val="Arial Narrow"/>
        <family val="2"/>
      </rPr>
      <t>)</t>
    </r>
  </si>
  <si>
    <r>
      <rPr>
        <b/>
        <i/>
        <u/>
        <sz val="12"/>
        <rFont val="Times New Roman"/>
        <family val="1"/>
      </rPr>
      <t>l</t>
    </r>
    <r>
      <rPr>
        <b/>
        <u/>
        <sz val="11"/>
        <rFont val="Arial Narrow"/>
        <family val="2"/>
      </rPr>
      <t>(35+n)</t>
    </r>
  </si>
  <si>
    <r>
      <rPr>
        <b/>
        <i/>
        <sz val="12"/>
        <color indexed="8"/>
        <rFont val="Times New Roman"/>
        <family val="1"/>
      </rPr>
      <t>l</t>
    </r>
    <r>
      <rPr>
        <b/>
        <sz val="11"/>
        <color indexed="8"/>
        <rFont val="Arial Narrow"/>
        <family val="2"/>
      </rPr>
      <t>(35)</t>
    </r>
  </si>
  <si>
    <t>)</t>
  </si>
  <si>
    <t xml:space="preserve">Date = </t>
  </si>
  <si>
    <r>
      <rPr>
        <b/>
        <i/>
        <sz val="10"/>
        <rFont val="Arial"/>
        <family val="2"/>
      </rPr>
      <t>a</t>
    </r>
    <r>
      <rPr>
        <b/>
        <sz val="10"/>
        <rFont val="Arial"/>
        <family val="2"/>
      </rPr>
      <t>(</t>
    </r>
    <r>
      <rPr>
        <b/>
        <i/>
        <sz val="10"/>
        <rFont val="Arial"/>
        <family val="2"/>
      </rPr>
      <t>n</t>
    </r>
    <r>
      <rPr>
        <b/>
        <sz val="10"/>
        <rFont val="Arial"/>
        <family val="2"/>
      </rPr>
      <t>)</t>
    </r>
  </si>
  <si>
    <r>
      <rPr>
        <b/>
        <i/>
        <sz val="10"/>
        <rFont val="Arial"/>
        <family val="2"/>
      </rPr>
      <t>b</t>
    </r>
    <r>
      <rPr>
        <b/>
        <sz val="10"/>
        <rFont val="Arial"/>
        <family val="2"/>
      </rPr>
      <t>(</t>
    </r>
    <r>
      <rPr>
        <b/>
        <i/>
        <sz val="10"/>
        <rFont val="Arial"/>
        <family val="2"/>
      </rPr>
      <t>n</t>
    </r>
    <r>
      <rPr>
        <b/>
        <sz val="10"/>
        <rFont val="Arial"/>
        <family val="2"/>
      </rPr>
      <t>)</t>
    </r>
  </si>
  <si>
    <r>
      <rPr>
        <b/>
        <i/>
        <sz val="10"/>
        <rFont val="Arial"/>
        <family val="2"/>
      </rPr>
      <t>c</t>
    </r>
    <r>
      <rPr>
        <b/>
        <sz val="10"/>
        <rFont val="Arial"/>
        <family val="2"/>
      </rPr>
      <t>(</t>
    </r>
    <r>
      <rPr>
        <b/>
        <i/>
        <sz val="10"/>
        <rFont val="Arial"/>
        <family val="2"/>
      </rPr>
      <t>n</t>
    </r>
    <r>
      <rPr>
        <b/>
        <sz val="10"/>
        <rFont val="Arial"/>
        <family val="2"/>
      </rPr>
      <t>)</t>
    </r>
  </si>
  <si>
    <r>
      <t>d</t>
    </r>
    <r>
      <rPr>
        <b/>
        <sz val="10"/>
        <rFont val="Arial"/>
        <family val="2"/>
      </rPr>
      <t>(</t>
    </r>
    <r>
      <rPr>
        <b/>
        <i/>
        <sz val="10"/>
        <rFont val="Arial"/>
        <family val="2"/>
      </rPr>
      <t>n</t>
    </r>
    <r>
      <rPr>
        <b/>
        <sz val="10"/>
        <rFont val="Arial"/>
        <family val="2"/>
      </rPr>
      <t>)</t>
    </r>
  </si>
  <si>
    <t>Date =</t>
  </si>
  <si>
    <r>
      <rPr>
        <b/>
        <i/>
        <u/>
        <sz val="12"/>
        <rFont val="Times New Roman"/>
        <family val="1"/>
      </rPr>
      <t>l</t>
    </r>
    <r>
      <rPr>
        <b/>
        <u/>
        <sz val="11"/>
        <rFont val="Arial Narrow"/>
        <family val="2"/>
      </rPr>
      <t>(25+</t>
    </r>
    <r>
      <rPr>
        <b/>
        <i/>
        <u/>
        <sz val="11"/>
        <rFont val="Arial Narrow"/>
        <family val="2"/>
      </rPr>
      <t>n</t>
    </r>
    <r>
      <rPr>
        <b/>
        <u/>
        <sz val="11"/>
        <rFont val="Arial Narrow"/>
        <family val="2"/>
      </rPr>
      <t>)</t>
    </r>
  </si>
  <si>
    <r>
      <rPr>
        <b/>
        <i/>
        <sz val="11"/>
        <rFont val="Arial Narrow"/>
        <family val="2"/>
      </rPr>
      <t>e</t>
    </r>
    <r>
      <rPr>
        <b/>
        <vertAlign val="subscript"/>
        <sz val="11"/>
        <rFont val="Arial Narrow"/>
        <family val="2"/>
      </rPr>
      <t>0</t>
    </r>
    <r>
      <rPr>
        <b/>
        <sz val="11"/>
        <rFont val="Arial Narrow"/>
        <family val="2"/>
      </rPr>
      <t xml:space="preserve"> = 60</t>
    </r>
  </si>
  <si>
    <r>
      <rPr>
        <b/>
        <i/>
        <sz val="11"/>
        <rFont val="Arial Narrow"/>
        <family val="2"/>
      </rPr>
      <t>Y</t>
    </r>
    <r>
      <rPr>
        <b/>
        <vertAlign val="subscript"/>
        <sz val="11"/>
        <rFont val="Arial Narrow"/>
        <family val="2"/>
      </rPr>
      <t>s</t>
    </r>
    <r>
      <rPr>
        <b/>
        <sz val="11"/>
        <rFont val="Arial Narrow"/>
        <family val="2"/>
      </rPr>
      <t>(</t>
    </r>
    <r>
      <rPr>
        <b/>
        <i/>
        <sz val="11"/>
        <rFont val="Arial Narrow"/>
        <family val="2"/>
      </rPr>
      <t>x</t>
    </r>
    <r>
      <rPr>
        <b/>
        <sz val="11"/>
        <rFont val="Arial Narrow"/>
        <family val="2"/>
      </rPr>
      <t>)</t>
    </r>
  </si>
  <si>
    <t xml:space="preserve"> 0-  4</t>
  </si>
  <si>
    <t>(1989 data)</t>
  </si>
  <si>
    <r>
      <rPr>
        <b/>
        <i/>
        <u/>
        <sz val="12"/>
        <rFont val="Times New Roman"/>
        <family val="1"/>
      </rPr>
      <t>l</t>
    </r>
    <r>
      <rPr>
        <b/>
        <u/>
        <sz val="11"/>
        <rFont val="Arial Narrow"/>
        <family val="2"/>
      </rPr>
      <t>(35+</t>
    </r>
    <r>
      <rPr>
        <b/>
        <i/>
        <u/>
        <sz val="11"/>
        <rFont val="Arial Narrow"/>
        <family val="2"/>
      </rPr>
      <t>n</t>
    </r>
    <r>
      <rPr>
        <b/>
        <u/>
        <sz val="11"/>
        <rFont val="Arial Narrow"/>
        <family val="2"/>
      </rPr>
      <t>)</t>
    </r>
  </si>
  <si>
    <r>
      <rPr>
        <b/>
        <i/>
        <sz val="11"/>
        <rFont val="Arial Narrow"/>
        <family val="2"/>
      </rPr>
      <t>S</t>
    </r>
    <r>
      <rPr>
        <b/>
        <i/>
        <vertAlign val="subscript"/>
        <sz val="11"/>
        <rFont val="Arial Narrow"/>
        <family val="2"/>
      </rPr>
      <t>n</t>
    </r>
    <r>
      <rPr>
        <b/>
        <sz val="11"/>
        <rFont val="Arial Narrow"/>
        <family val="2"/>
      </rPr>
      <t>(</t>
    </r>
    <r>
      <rPr>
        <b/>
        <i/>
        <sz val="11"/>
        <rFont val="Arial Narrow"/>
        <family val="2"/>
      </rPr>
      <t>t</t>
    </r>
    <r>
      <rPr>
        <b/>
        <sz val="11"/>
        <rFont val="Arial Narrow"/>
        <family val="2"/>
      </rPr>
      <t>)</t>
    </r>
  </si>
  <si>
    <r>
      <rPr>
        <b/>
        <i/>
        <sz val="11"/>
        <rFont val="Arial Narrow"/>
        <family val="2"/>
      </rPr>
      <t>r</t>
    </r>
    <r>
      <rPr>
        <b/>
        <i/>
        <vertAlign val="subscript"/>
        <sz val="11"/>
        <rFont val="Arial Narrow"/>
        <family val="2"/>
      </rPr>
      <t>n</t>
    </r>
    <r>
      <rPr>
        <b/>
        <sz val="11"/>
        <rFont val="Arial Narrow"/>
        <family val="2"/>
      </rPr>
      <t>(</t>
    </r>
    <r>
      <rPr>
        <b/>
        <i/>
        <sz val="11"/>
        <rFont val="Arial Narrow"/>
        <family val="2"/>
      </rPr>
      <t>t</t>
    </r>
    <r>
      <rPr>
        <b/>
        <sz val="11"/>
        <rFont val="Arial Narrow"/>
        <family val="2"/>
      </rPr>
      <t>)</t>
    </r>
  </si>
  <si>
    <r>
      <rPr>
        <b/>
        <i/>
        <sz val="12"/>
        <color indexed="8"/>
        <rFont val="Times New Roman"/>
        <family val="1"/>
      </rPr>
      <t>l</t>
    </r>
    <r>
      <rPr>
        <b/>
        <sz val="11"/>
        <color indexed="8"/>
        <rFont val="Arial Narrow"/>
        <family val="2"/>
      </rPr>
      <t>(25)</t>
    </r>
  </si>
  <si>
    <r>
      <rPr>
        <b/>
        <i/>
        <sz val="12"/>
        <color indexed="8"/>
        <rFont val="Times New Roman"/>
        <family val="1"/>
      </rPr>
      <t>l</t>
    </r>
    <r>
      <rPr>
        <b/>
        <sz val="11"/>
        <color indexed="8"/>
        <rFont val="Arial Narrow"/>
        <family val="2"/>
      </rPr>
      <t>(45)</t>
    </r>
  </si>
  <si>
    <r>
      <rPr>
        <b/>
        <i/>
        <sz val="12"/>
        <color indexed="8"/>
        <rFont val="Times New Roman"/>
        <family val="1"/>
      </rPr>
      <t>l</t>
    </r>
    <r>
      <rPr>
        <b/>
        <sz val="11"/>
        <color indexed="8"/>
        <rFont val="Arial Narrow"/>
        <family val="2"/>
      </rPr>
      <t>(55)</t>
    </r>
  </si>
  <si>
    <t>1)</t>
  </si>
  <si>
    <t>2)</t>
  </si>
  <si>
    <t>3)</t>
  </si>
  <si>
    <t>4)</t>
  </si>
  <si>
    <t>5)</t>
  </si>
  <si>
    <t>6)</t>
  </si>
  <si>
    <t>7)</t>
  </si>
  <si>
    <t>9)</t>
  </si>
  <si>
    <t>8)</t>
  </si>
  <si>
    <t>+</t>
  </si>
  <si>
    <r>
      <rPr>
        <b/>
        <i/>
        <sz val="10"/>
        <color theme="9" tint="-0.499984740745262"/>
        <rFont val="Arial"/>
        <family val="2"/>
      </rPr>
      <t>M</t>
    </r>
    <r>
      <rPr>
        <b/>
        <sz val="10"/>
        <color theme="9" tint="-0.499984740745262"/>
        <rFont val="Arial"/>
        <family val="2"/>
      </rPr>
      <t xml:space="preserve"> =</t>
    </r>
  </si>
  <si>
    <t>β =</t>
  </si>
  <si>
    <r>
      <rPr>
        <b/>
        <i/>
        <sz val="10"/>
        <rFont val="Arial"/>
        <family val="2"/>
      </rPr>
      <t>d</t>
    </r>
    <r>
      <rPr>
        <b/>
        <sz val="10"/>
        <rFont val="Arial"/>
        <family val="2"/>
      </rPr>
      <t>(</t>
    </r>
    <r>
      <rPr>
        <b/>
        <i/>
        <sz val="10"/>
        <rFont val="Arial"/>
        <family val="2"/>
      </rPr>
      <t>n</t>
    </r>
    <r>
      <rPr>
        <b/>
        <sz val="10"/>
        <rFont val="Arial"/>
        <family val="2"/>
      </rPr>
      <t>)</t>
    </r>
  </si>
  <si>
    <r>
      <rPr>
        <b/>
        <i/>
        <sz val="11"/>
        <rFont val="Arial Narrow"/>
        <family val="2"/>
      </rPr>
      <t>l</t>
    </r>
    <r>
      <rPr>
        <b/>
        <sz val="11"/>
        <rFont val="Arial Narrow"/>
        <family val="2"/>
      </rPr>
      <t>(</t>
    </r>
    <r>
      <rPr>
        <b/>
        <i/>
        <sz val="11"/>
        <rFont val="Arial Narrow"/>
        <family val="2"/>
      </rPr>
      <t>x</t>
    </r>
    <r>
      <rPr>
        <b/>
        <sz val="11"/>
        <rFont val="Arial Narrow"/>
        <family val="2"/>
      </rPr>
      <t>)</t>
    </r>
  </si>
  <si>
    <r>
      <t>(</t>
    </r>
    <r>
      <rPr>
        <b/>
        <i/>
        <sz val="10"/>
        <rFont val="Arial"/>
        <family val="2"/>
      </rPr>
      <t>S</t>
    </r>
    <r>
      <rPr>
        <b/>
        <vertAlign val="subscript"/>
        <sz val="10"/>
        <rFont val="Arial"/>
        <family val="2"/>
      </rPr>
      <t>20</t>
    </r>
    <r>
      <rPr>
        <b/>
        <sz val="10"/>
        <rFont val="Arial"/>
        <family val="2"/>
      </rPr>
      <t>(</t>
    </r>
    <r>
      <rPr>
        <b/>
        <i/>
        <sz val="10"/>
        <rFont val="Arial"/>
        <family val="2"/>
      </rPr>
      <t>t</t>
    </r>
    <r>
      <rPr>
        <b/>
        <sz val="10"/>
        <rFont val="Arial"/>
        <family val="2"/>
      </rPr>
      <t>)</t>
    </r>
    <r>
      <rPr>
        <sz val="10"/>
        <rFont val="Arial"/>
        <family val="2"/>
      </rPr>
      <t xml:space="preserve"> =</t>
    </r>
  </si>
  <si>
    <t>Logit</t>
  </si>
  <si>
    <r>
      <rPr>
        <b/>
        <sz val="10"/>
        <rFont val="Calibri"/>
        <family val="2"/>
      </rPr>
      <t>β</t>
    </r>
    <r>
      <rPr>
        <b/>
        <sz val="10"/>
        <rFont val="Arial"/>
        <family val="2"/>
      </rPr>
      <t xml:space="preserve"> =</t>
    </r>
  </si>
  <si>
    <t>α  =</t>
  </si>
  <si>
    <r>
      <rPr>
        <b/>
        <i/>
        <sz val="11"/>
        <rFont val="Arial Narrow"/>
        <family val="2"/>
      </rPr>
      <t>e</t>
    </r>
    <r>
      <rPr>
        <b/>
        <vertAlign val="superscript"/>
        <sz val="11"/>
        <rFont val="Arial Narrow"/>
        <family val="2"/>
      </rPr>
      <t>Σ</t>
    </r>
    <r>
      <rPr>
        <b/>
        <i/>
        <vertAlign val="superscript"/>
        <sz val="11"/>
        <rFont val="Arial Narrow"/>
        <family val="2"/>
      </rPr>
      <t>r</t>
    </r>
    <r>
      <rPr>
        <b/>
        <i/>
        <sz val="8"/>
        <rFont val="Arial Narrow"/>
        <family val="2"/>
      </rPr>
      <t>n</t>
    </r>
    <r>
      <rPr>
        <b/>
        <vertAlign val="superscript"/>
        <sz val="11"/>
        <rFont val="Arial Narrow"/>
        <family val="2"/>
      </rPr>
      <t>(</t>
    </r>
    <r>
      <rPr>
        <b/>
        <i/>
        <vertAlign val="superscript"/>
        <sz val="11"/>
        <rFont val="Arial Narrow"/>
        <family val="2"/>
      </rPr>
      <t>t</t>
    </r>
    <r>
      <rPr>
        <b/>
        <vertAlign val="superscript"/>
        <sz val="11"/>
        <rFont val="Arial Narrow"/>
        <family val="2"/>
      </rPr>
      <t>)</t>
    </r>
  </si>
  <si>
    <t>x</t>
  </si>
  <si>
    <t>y</t>
  </si>
  <si>
    <r>
      <rPr>
        <b/>
        <i/>
        <sz val="12"/>
        <rFont val="Arial"/>
        <family val="2"/>
      </rPr>
      <t>l</t>
    </r>
    <r>
      <rPr>
        <b/>
        <sz val="11"/>
        <rFont val="Arial"/>
        <family val="2"/>
      </rPr>
      <t>(</t>
    </r>
    <r>
      <rPr>
        <b/>
        <i/>
        <sz val="11"/>
        <rFont val="Arial"/>
        <family val="2"/>
      </rPr>
      <t>x</t>
    </r>
    <r>
      <rPr>
        <b/>
        <sz val="11"/>
        <rFont val="Arial"/>
        <family val="2"/>
      </rPr>
      <t>)</t>
    </r>
  </si>
  <si>
    <t>`</t>
  </si>
  <si>
    <t>Kenya</t>
  </si>
  <si>
    <t>30q30</t>
  </si>
  <si>
    <t>Cette méthode est décrite à l'adresse suivante :</t>
  </si>
  <si>
    <t>Entrez le nom du pays ou de la population à droite de cette cellule.</t>
  </si>
  <si>
    <t>Nom du pays / population</t>
  </si>
  <si>
    <t xml:space="preserve">Choisir la table standard de mortalité </t>
  </si>
  <si>
    <t>Sélectionner l'indice  synthétique</t>
  </si>
  <si>
    <t>Saisie des données:</t>
  </si>
  <si>
    <t>Paramètres d'entrée</t>
  </si>
  <si>
    <t>Entrer la date de l'enquête la plus récente</t>
  </si>
  <si>
    <t>Logits des tables-types de mortalité e0=60, sexes réunis</t>
  </si>
  <si>
    <t>NU Général</t>
  </si>
  <si>
    <t>Princeton Est</t>
  </si>
  <si>
    <t>Princeton Nord</t>
  </si>
  <si>
    <t>Princeton Sud</t>
  </si>
  <si>
    <t>Princeton Ouest</t>
  </si>
  <si>
    <r>
      <t xml:space="preserve">Hommes </t>
    </r>
    <r>
      <rPr>
        <b/>
        <i/>
        <sz val="12"/>
        <rFont val="Arial Narrow"/>
        <family val="2"/>
      </rPr>
      <t>e</t>
    </r>
    <r>
      <rPr>
        <b/>
        <vertAlign val="subscript"/>
        <sz val="12"/>
        <rFont val="Arial Narrow"/>
        <family val="2"/>
      </rPr>
      <t>0</t>
    </r>
    <r>
      <rPr>
        <b/>
        <sz val="12"/>
        <rFont val="Arial Narrow"/>
        <family val="2"/>
      </rPr>
      <t>=50</t>
    </r>
  </si>
  <si>
    <r>
      <t>Femmes</t>
    </r>
    <r>
      <rPr>
        <b/>
        <i/>
        <sz val="12"/>
        <rFont val="Arial Narrow"/>
        <family val="2"/>
      </rPr>
      <t xml:space="preserve"> e</t>
    </r>
    <r>
      <rPr>
        <b/>
        <vertAlign val="subscript"/>
        <sz val="12"/>
        <rFont val="Arial Narrow"/>
        <family val="2"/>
      </rPr>
      <t>0</t>
    </r>
    <r>
      <rPr>
        <b/>
        <sz val="12"/>
        <rFont val="Arial Narrow"/>
        <family val="2"/>
      </rPr>
      <t>=52.5</t>
    </r>
  </si>
  <si>
    <t>Orphelins de mère</t>
  </si>
  <si>
    <t>Coefficients de régression (Timaeus, 1992)</t>
  </si>
  <si>
    <t>Orphelins de mère à l'âge adulte dans des cohortes synthétiques</t>
  </si>
  <si>
    <t>Coefficients de régression (Timaeus, 1991)</t>
  </si>
  <si>
    <t>Table de mortalité standard</t>
  </si>
  <si>
    <t>Survie</t>
  </si>
  <si>
    <t>à partir de 55 ans</t>
  </si>
  <si>
    <t>à partir de 45 ans</t>
  </si>
  <si>
    <t>Hommes</t>
  </si>
  <si>
    <t>Standard SIDA</t>
  </si>
  <si>
    <t>Femmes</t>
  </si>
  <si>
    <t>Orphelins de pères</t>
  </si>
  <si>
    <t>Orphelins de père à l'âge adulte dans des cohortes synthétiques</t>
  </si>
  <si>
    <t>Estimation de la mortalité adulte à partir des proportions d'orphelins:</t>
  </si>
  <si>
    <t>Groupe</t>
  </si>
  <si>
    <t>d'âge</t>
  </si>
  <si>
    <t xml:space="preserve">Mère </t>
  </si>
  <si>
    <t>en vie</t>
  </si>
  <si>
    <t>Age moyen à la naissance des enfants</t>
  </si>
  <si>
    <t>Niveau</t>
  </si>
  <si>
    <t>Femmes - cohortes synthétiques</t>
  </si>
  <si>
    <t>Taux de croissance</t>
  </si>
  <si>
    <t>Valeurs ajustées</t>
  </si>
  <si>
    <t>Valeurs estimées</t>
  </si>
  <si>
    <t>de la prob. de survie</t>
  </si>
  <si>
    <t>Valeurs lissées</t>
  </si>
  <si>
    <t>Calcul de l'âge moyen à la naissance des enfants</t>
  </si>
  <si>
    <t>Naissances des</t>
  </si>
  <si>
    <t>12 derniers mois</t>
  </si>
  <si>
    <t>Age de milieu</t>
  </si>
  <si>
    <t xml:space="preserve">Naissances par: </t>
  </si>
  <si>
    <t xml:space="preserve">Age </t>
  </si>
  <si>
    <t>Correction pour</t>
  </si>
  <si>
    <t>Point médian</t>
  </si>
  <si>
    <t>Localisation</t>
  </si>
  <si>
    <t>central</t>
  </si>
  <si>
    <t>survivants</t>
  </si>
  <si>
    <t>prop. en vie</t>
  </si>
  <si>
    <t>non-linearité</t>
  </si>
  <si>
    <t>d'exposition</t>
  </si>
  <si>
    <t>dans le temps</t>
  </si>
  <si>
    <t>Lissage des estimations des probabilités de survie</t>
  </si>
  <si>
    <t>Age le plus élevé pour l'ajustement:</t>
  </si>
  <si>
    <t>Age le plus jeune pour l'ajustement:</t>
  </si>
  <si>
    <t>Père</t>
  </si>
  <si>
    <t>Valeurs</t>
  </si>
  <si>
    <t>ajustées</t>
  </si>
  <si>
    <t>Estimations</t>
  </si>
  <si>
    <t>Différence d'âge</t>
  </si>
  <si>
    <t>Calcu des âges médians des marriés</t>
  </si>
  <si>
    <t>Hommes mariés</t>
  </si>
  <si>
    <t>Femmes mariées</t>
  </si>
  <si>
    <t xml:space="preserve"> Prop. cum. des hommes mariés</t>
  </si>
  <si>
    <t xml:space="preserve"> Prop. cum. des femmes mariés</t>
  </si>
  <si>
    <t>Point</t>
  </si>
  <si>
    <t>médian d'exposition</t>
  </si>
  <si>
    <t>Localisation dans le temps (orphelins de mère)</t>
  </si>
  <si>
    <t>Localisation dans le temps (orphelins de père)</t>
  </si>
  <si>
    <t>Instructions</t>
  </si>
  <si>
    <t>Autre</t>
  </si>
  <si>
    <t>SIDA</t>
  </si>
  <si>
    <t>Hommes - cohortes synthétiques</t>
  </si>
  <si>
    <r>
      <t xml:space="preserve">Estimation de la mortalité adulte à partir de plusieurs ensembles de données sur les orphelins : </t>
    </r>
    <r>
      <rPr>
        <sz val="12"/>
        <rFont val="Arial"/>
        <family val="2"/>
      </rPr>
      <t>Kenya</t>
    </r>
  </si>
  <si>
    <t>http://demographicestimation.iussp.org/fr/content/orphelines-plusieurs-enquêtes-ou-recensements</t>
  </si>
  <si>
    <t>Age à l'interview</t>
  </si>
  <si>
    <t>Cette feuille de calcul estime la mortalité des femmes et des hommes adultes à partir des proportions de répondants dont les mères et les pères sont encore en vie à deux ou plusieurs dates différentes. Ces données peuvent provenir soit d'enquêtes distinctes ou d'une enquête qui pose des questions sur les dates de décès des parents. Avec deux séries de proportions, on peut estimer la mortalité à partir des données sur les orphelins  à l'âge adulte relatives à des cohortes synthétiques et pour la période entre les deux enquêtes.</t>
  </si>
  <si>
    <t>Sélectionnez la famille du modèle de tables de mortalité avec lequel vous souhaitez évaluer le niveau et la tendance de la mortalité dans cette population en utilisant le menu déroulant à droite de cette cellule.</t>
  </si>
  <si>
    <t>Sélectionnez l'indice synthétique de la mortalité adulte que vous souhaitez calculer et représenter sur un graphique  en utilisant le menu déroulant à droite de cette cellule.</t>
  </si>
  <si>
    <t>Entrez la date moyenne à laquelle le plus récent ensemble des proportions s’applique dans la cellule à droite.</t>
  </si>
  <si>
    <t>Entrez la date moyenne à laquelle le plus ancien ensemble des proportions s’applique dans la cellule vers la droite.</t>
  </si>
  <si>
    <r>
      <t xml:space="preserve">Si vous avez des données sur le nombre de répondants et le nombre de mères qui vivent par groupe d'âge, collez l'ensemble plus récent de ceux-ci dans les cellules </t>
    </r>
    <r>
      <rPr>
        <b/>
        <sz val="12"/>
        <color theme="1"/>
        <rFont val="Arial"/>
        <family val="2"/>
      </rPr>
      <t>B5: C14</t>
    </r>
    <r>
      <rPr>
        <sz val="12"/>
        <color theme="1"/>
        <rFont val="Arial"/>
        <family val="2"/>
      </rPr>
      <t xml:space="preserve"> de la feuille </t>
    </r>
    <r>
      <rPr>
        <b/>
        <i/>
        <sz val="12"/>
        <color theme="1"/>
        <rFont val="Arial"/>
        <family val="2"/>
      </rPr>
      <t>Orphelins de mère</t>
    </r>
    <r>
      <rPr>
        <sz val="12"/>
        <color theme="1"/>
        <rFont val="Arial"/>
        <family val="2"/>
      </rPr>
      <t xml:space="preserve"> et l'ensemble le plus ancien dans les cellules </t>
    </r>
    <r>
      <rPr>
        <b/>
        <sz val="12"/>
        <color theme="1"/>
        <rFont val="Arial"/>
        <family val="2"/>
      </rPr>
      <t>B20: C29</t>
    </r>
    <r>
      <rPr>
        <sz val="12"/>
        <color theme="1"/>
        <rFont val="Arial"/>
        <family val="2"/>
      </rPr>
      <t xml:space="preserve"> de la feuille </t>
    </r>
    <r>
      <rPr>
        <b/>
        <i/>
        <sz val="12"/>
        <color theme="1"/>
        <rFont val="Arial"/>
        <family val="2"/>
      </rPr>
      <t>Orphelins de mère</t>
    </r>
    <r>
      <rPr>
        <sz val="12"/>
        <color theme="1"/>
        <rFont val="Arial"/>
        <family val="2"/>
      </rPr>
      <t>. Les chiffres de répondants doivent exclure tous ceux qui ne savent pas si leur mère était en vie ou qui n’ont pas répondu à la question.</t>
    </r>
  </si>
  <si>
    <r>
      <rPr>
        <u/>
        <sz val="12"/>
        <color theme="1"/>
        <rFont val="Arial"/>
        <family val="2"/>
      </rPr>
      <t>Ou bien</t>
    </r>
    <r>
      <rPr>
        <sz val="12"/>
        <color theme="1"/>
        <rFont val="Arial"/>
        <family val="2"/>
      </rPr>
      <t xml:space="preserve">, si vous avez des données sur les proportions de répondants avec les mères encore en vie par groupe d'âge, collez l'ensemble le plus récent dans les cellules </t>
    </r>
    <r>
      <rPr>
        <b/>
        <sz val="12"/>
        <color theme="1"/>
        <rFont val="Arial"/>
        <family val="2"/>
      </rPr>
      <t>D6: D14</t>
    </r>
    <r>
      <rPr>
        <sz val="12"/>
        <color theme="1"/>
        <rFont val="Arial"/>
        <family val="2"/>
      </rPr>
      <t xml:space="preserve"> de la feuille</t>
    </r>
    <r>
      <rPr>
        <b/>
        <i/>
        <sz val="12"/>
        <color theme="1"/>
        <rFont val="Arial"/>
        <family val="2"/>
      </rPr>
      <t xml:space="preserve"> Orphelins de mère</t>
    </r>
    <r>
      <rPr>
        <sz val="12"/>
        <color theme="1"/>
        <rFont val="Arial"/>
        <family val="2"/>
      </rPr>
      <t xml:space="preserve"> et l'ensemble le plus ancien dans les cellules</t>
    </r>
    <r>
      <rPr>
        <b/>
        <sz val="12"/>
        <color theme="1"/>
        <rFont val="Arial"/>
        <family val="2"/>
      </rPr>
      <t xml:space="preserve"> D21: D29</t>
    </r>
    <r>
      <rPr>
        <sz val="12"/>
        <color theme="1"/>
        <rFont val="Arial"/>
        <family val="2"/>
      </rPr>
      <t>. Si elles sont exprimées en pourcentage, il faudrait diviser par 100 avant de le faire.</t>
    </r>
  </si>
  <si>
    <r>
      <t xml:space="preserve">Si vous avez des données sur le nombre de répondants et le nombre de pères encore en vie par groupe d'âge, collez l'ensemble le plus récent dans les cellules </t>
    </r>
    <r>
      <rPr>
        <b/>
        <sz val="12"/>
        <color theme="1"/>
        <rFont val="Arial"/>
        <family val="2"/>
      </rPr>
      <t>B5: C13</t>
    </r>
    <r>
      <rPr>
        <sz val="12"/>
        <color theme="1"/>
        <rFont val="Arial"/>
        <family val="2"/>
      </rPr>
      <t xml:space="preserve"> de la feuille </t>
    </r>
    <r>
      <rPr>
        <b/>
        <i/>
        <sz val="12"/>
        <color theme="1"/>
        <rFont val="Arial"/>
        <family val="2"/>
      </rPr>
      <t>Orphelins de père</t>
    </r>
    <r>
      <rPr>
        <sz val="12"/>
        <color theme="1"/>
        <rFont val="Arial"/>
        <family val="2"/>
      </rPr>
      <t xml:space="preserve"> et l'ensemble le plus ancien dans les cellules </t>
    </r>
    <r>
      <rPr>
        <b/>
        <sz val="12"/>
        <color theme="1"/>
        <rFont val="Arial"/>
        <family val="2"/>
      </rPr>
      <t>B19: C27</t>
    </r>
    <r>
      <rPr>
        <sz val="12"/>
        <color theme="1"/>
        <rFont val="Arial"/>
        <family val="2"/>
      </rPr>
      <t xml:space="preserve"> de la feuille </t>
    </r>
    <r>
      <rPr>
        <b/>
        <i/>
        <sz val="12"/>
        <color theme="1"/>
        <rFont val="Arial"/>
        <family val="2"/>
      </rPr>
      <t>Orphelins de père</t>
    </r>
    <r>
      <rPr>
        <sz val="12"/>
        <color theme="1"/>
        <rFont val="Arial"/>
        <family val="2"/>
      </rPr>
      <t>. Les chiffres de répondants doivent exclure tous ceux qui ne savent pas si leur père était vivant ou qui n’ont pas répondu à la question.</t>
    </r>
  </si>
  <si>
    <r>
      <rPr>
        <u/>
        <sz val="12"/>
        <color theme="1"/>
        <rFont val="Arial"/>
        <family val="2"/>
      </rPr>
      <t>Ou bien</t>
    </r>
    <r>
      <rPr>
        <sz val="12"/>
        <color theme="1"/>
        <rFont val="Arial"/>
        <family val="2"/>
      </rPr>
      <t xml:space="preserve">, si vous avez des données sur les proportions de répondants avec les pères encore en vie par groupe d'âge, collez l'ensemble le plus récent dans les cellules </t>
    </r>
    <r>
      <rPr>
        <b/>
        <sz val="12"/>
        <color theme="1"/>
        <rFont val="Arial"/>
        <family val="2"/>
      </rPr>
      <t>D6: D13</t>
    </r>
    <r>
      <rPr>
        <sz val="12"/>
        <color theme="1"/>
        <rFont val="Arial"/>
        <family val="2"/>
      </rPr>
      <t xml:space="preserve"> de la feuille </t>
    </r>
    <r>
      <rPr>
        <b/>
        <i/>
        <sz val="12"/>
        <color theme="1"/>
        <rFont val="Arial"/>
        <family val="2"/>
      </rPr>
      <t>Orphelins de père</t>
    </r>
    <r>
      <rPr>
        <sz val="12"/>
        <color theme="1"/>
        <rFont val="Arial"/>
        <family val="2"/>
      </rPr>
      <t xml:space="preserve"> et l'ensemble le plus ancien dans les cellules </t>
    </r>
    <r>
      <rPr>
        <b/>
        <sz val="12"/>
        <color theme="1"/>
        <rFont val="Arial"/>
        <family val="2"/>
      </rPr>
      <t>D20: D27</t>
    </r>
    <r>
      <rPr>
        <sz val="12"/>
        <color theme="1"/>
        <rFont val="Arial"/>
        <family val="2"/>
      </rPr>
      <t>. Si elles sont exprimées en pourcentage, il faudrait diviser par 100 avant de le faire.</t>
    </r>
  </si>
  <si>
    <r>
      <t xml:space="preserve">Pour calculer l'âge moyen à la naissance des enfants des femmes, coller le nombre de naissances de l'année précédant l'enquête par âge de la mère dans les cellules </t>
    </r>
    <r>
      <rPr>
        <b/>
        <sz val="12"/>
        <color theme="1"/>
        <rFont val="Arial"/>
        <family val="2"/>
      </rPr>
      <t>B49: B55</t>
    </r>
    <r>
      <rPr>
        <sz val="12"/>
        <color theme="1"/>
        <rFont val="Arial"/>
        <family val="2"/>
      </rPr>
      <t xml:space="preserve"> de la feuille</t>
    </r>
    <r>
      <rPr>
        <b/>
        <i/>
        <sz val="12"/>
        <color theme="1"/>
        <rFont val="Arial"/>
        <family val="2"/>
      </rPr>
      <t xml:space="preserve"> Orphelins de mère</t>
    </r>
    <r>
      <rPr>
        <sz val="12"/>
        <color theme="1"/>
        <rFont val="Arial"/>
        <family val="2"/>
      </rPr>
      <t>. Par défaut, on suppose que les naissances sont compilées par âge des femmes lors de l'enquête, et non par âge  à l'accouchement, mais il y a une option pour corriger cela si nécessaire.</t>
    </r>
  </si>
  <si>
    <r>
      <t xml:space="preserve">Pour estimer l'âge moyen à la naissance des enfants des hommes, entrez le nombre d'hommes et de femmes actuellement mariées par groupe d'âge dans les cellules </t>
    </r>
    <r>
      <rPr>
        <b/>
        <sz val="12"/>
        <color theme="1"/>
        <rFont val="Arial"/>
        <family val="2"/>
      </rPr>
      <t>C50: D64</t>
    </r>
    <r>
      <rPr>
        <sz val="12"/>
        <color theme="1"/>
        <rFont val="Arial"/>
        <family val="2"/>
      </rPr>
      <t xml:space="preserve"> de la feuille </t>
    </r>
    <r>
      <rPr>
        <b/>
        <i/>
        <sz val="12"/>
        <color theme="1"/>
        <rFont val="Arial"/>
        <family val="2"/>
      </rPr>
      <t>Orphelins de père</t>
    </r>
    <r>
      <rPr>
        <sz val="12"/>
        <color theme="1"/>
        <rFont val="Arial"/>
        <family val="2"/>
      </rPr>
      <t>. Ces données sont utilisées pour calculer l'âge médian de la population actuellement mariée et doivent inclure tous les individus mariés de tout âge, mais vous pouvez insérer des données avec n'importe quel groupe d'âge ouvert dont l’âge initial dépasse ces médianes, qui sont peu probables d'être supérieures à 45 ans.</t>
    </r>
  </si>
  <si>
    <t>Entrer la date de l'enquête la plus ancienne</t>
  </si>
  <si>
    <t>répondants</t>
  </si>
  <si>
    <t>Date d'enquête:</t>
  </si>
  <si>
    <t>Probabilité de décéder</t>
  </si>
  <si>
    <t>Groupe d'âge</t>
  </si>
  <si>
    <t>Date d'enquête</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</si>
</sst>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00_-;\-* #,##0.00_-;_-* &quot;-&quot;??_-;_-@_-"/>
    <numFmt numFmtId="165" formatCode="_ * #,##0.00_ ;_ * \-#,##0.00_ ;_ * &quot;-&quot;??_ ;_ @_ "/>
    <numFmt numFmtId="166" formatCode="General_)"/>
    <numFmt numFmtId="167" formatCode="0.0000_)"/>
    <numFmt numFmtId="168" formatCode="0.00_)"/>
    <numFmt numFmtId="169" formatCode="0_)"/>
    <numFmt numFmtId="170" formatCode="0.000_)"/>
    <numFmt numFmtId="171" formatCode="0.0000"/>
    <numFmt numFmtId="172" formatCode="0.0_)"/>
    <numFmt numFmtId="173" formatCode="0.00000"/>
    <numFmt numFmtId="174" formatCode="\-#,##0"/>
    <numFmt numFmtId="175" formatCode="0.00000_)"/>
  </numFmts>
  <fonts count="67">
    <font>
      <sz val="12"/>
      <name val="Courier"/>
    </font>
    <font>
      <sz val="10"/>
      <name val="Arial"/>
      <family val="2"/>
    </font>
    <font>
      <sz val="10"/>
      <name val="Arial"/>
      <family val="2"/>
    </font>
    <font>
      <sz val="10"/>
      <color indexed="8"/>
      <name val="Arial"/>
      <family val="2"/>
    </font>
    <font>
      <u/>
      <sz val="10"/>
      <name val="Arial"/>
      <family val="2"/>
    </font>
    <font>
      <sz val="9"/>
      <name val="Arial"/>
      <family val="2"/>
    </font>
    <font>
      <b/>
      <sz val="10"/>
      <name val="Arial"/>
      <family val="2"/>
    </font>
    <font>
      <sz val="10"/>
      <name val="Courier"/>
      <family val="3"/>
    </font>
    <font>
      <u/>
      <sz val="10"/>
      <color indexed="8"/>
      <name val="Arial"/>
      <family val="2"/>
    </font>
    <font>
      <b/>
      <sz val="12"/>
      <name val="Arial"/>
      <family val="2"/>
    </font>
    <font>
      <sz val="12"/>
      <name val="Arial"/>
      <family val="2"/>
    </font>
    <font>
      <vertAlign val="subscript"/>
      <sz val="10"/>
      <name val="Arial"/>
      <family val="2"/>
    </font>
    <font>
      <i/>
      <sz val="10"/>
      <name val="Arial"/>
      <family val="2"/>
    </font>
    <font>
      <sz val="10"/>
      <name val="Calibri"/>
      <family val="2"/>
    </font>
    <font>
      <sz val="10"/>
      <name val="Courier"/>
      <family val="3"/>
    </font>
    <font>
      <sz val="12"/>
      <name val="Courier"/>
      <family val="3"/>
    </font>
    <font>
      <sz val="12"/>
      <name val="Arial Narrow"/>
      <family val="2"/>
    </font>
    <font>
      <b/>
      <sz val="12"/>
      <name val="Arial Narrow"/>
      <family val="2"/>
    </font>
    <font>
      <b/>
      <sz val="11"/>
      <name val="Arial Narrow"/>
      <family val="2"/>
    </font>
    <font>
      <b/>
      <u/>
      <sz val="11"/>
      <name val="Arial Narrow"/>
      <family val="2"/>
    </font>
    <font>
      <b/>
      <i/>
      <sz val="11"/>
      <name val="Arial Narrow"/>
      <family val="2"/>
    </font>
    <font>
      <b/>
      <sz val="11"/>
      <color indexed="8"/>
      <name val="Arial Narrow"/>
      <family val="2"/>
    </font>
    <font>
      <b/>
      <i/>
      <sz val="11"/>
      <color indexed="8"/>
      <name val="Arial Narrow"/>
      <family val="2"/>
    </font>
    <font>
      <b/>
      <i/>
      <vertAlign val="subscript"/>
      <sz val="11"/>
      <name val="Arial Narrow"/>
      <family val="2"/>
    </font>
    <font>
      <b/>
      <i/>
      <sz val="10"/>
      <name val="Arial"/>
      <family val="2"/>
    </font>
    <font>
      <b/>
      <sz val="11"/>
      <name val="Calibri"/>
      <family val="2"/>
    </font>
    <font>
      <sz val="8"/>
      <name val="SAS Monospace"/>
    </font>
    <font>
      <u/>
      <sz val="10"/>
      <color theme="10"/>
      <name val="Arial"/>
      <family val="2"/>
    </font>
    <font>
      <b/>
      <i/>
      <sz val="12"/>
      <color indexed="8"/>
      <name val="Times New Roman"/>
      <family val="1"/>
    </font>
    <font>
      <b/>
      <i/>
      <sz val="12"/>
      <name val="Times New Roman"/>
      <family val="1"/>
    </font>
    <font>
      <b/>
      <i/>
      <u/>
      <sz val="12"/>
      <name val="Times New Roman"/>
      <family val="1"/>
    </font>
    <font>
      <b/>
      <i/>
      <sz val="12"/>
      <name val="Arial Narrow"/>
      <family val="2"/>
    </font>
    <font>
      <b/>
      <i/>
      <vertAlign val="superscript"/>
      <sz val="10"/>
      <name val="Arial Narrow"/>
      <family val="2"/>
    </font>
    <font>
      <b/>
      <i/>
      <vertAlign val="superscript"/>
      <sz val="12"/>
      <name val="Arial Narrow"/>
      <family val="2"/>
    </font>
    <font>
      <sz val="11"/>
      <name val="Times New Roman"/>
      <family val="1"/>
    </font>
    <font>
      <b/>
      <vertAlign val="subscript"/>
      <sz val="10"/>
      <name val="Arial"/>
      <family val="2"/>
    </font>
    <font>
      <b/>
      <i/>
      <u/>
      <sz val="11"/>
      <name val="Arial Narrow"/>
      <family val="2"/>
    </font>
    <font>
      <sz val="10"/>
      <color rgb="FFFF0000"/>
      <name val="Arial"/>
      <family val="2"/>
    </font>
    <font>
      <sz val="12"/>
      <color rgb="FFFF0000"/>
      <name val="Arial"/>
      <family val="2"/>
    </font>
    <font>
      <b/>
      <vertAlign val="subscript"/>
      <sz val="11"/>
      <name val="Arial Narrow"/>
      <family val="2"/>
    </font>
    <font>
      <i/>
      <sz val="12"/>
      <name val="Arial"/>
      <family val="2"/>
    </font>
    <font>
      <sz val="11"/>
      <color indexed="8"/>
      <name val="Calibri"/>
      <family val="2"/>
    </font>
    <font>
      <b/>
      <i/>
      <sz val="12"/>
      <name val="Arial"/>
      <family val="2"/>
    </font>
    <font>
      <b/>
      <vertAlign val="superscript"/>
      <sz val="11"/>
      <name val="Arial Narrow"/>
      <family val="2"/>
    </font>
    <font>
      <b/>
      <i/>
      <vertAlign val="superscript"/>
      <sz val="11"/>
      <name val="Arial Narrow"/>
      <family val="2"/>
    </font>
    <font>
      <sz val="11"/>
      <name val="Arial Narrow"/>
      <family val="2"/>
    </font>
    <font>
      <sz val="9"/>
      <color indexed="81"/>
      <name val="Tahoma"/>
      <family val="2"/>
    </font>
    <font>
      <sz val="12"/>
      <color rgb="FF006600"/>
      <name val="Arial"/>
      <family val="2"/>
    </font>
    <font>
      <sz val="10"/>
      <color rgb="FF006600"/>
      <name val="Arial"/>
      <family val="2"/>
    </font>
    <font>
      <sz val="10"/>
      <color theme="9" tint="-0.499984740745262"/>
      <name val="Arial"/>
      <family val="2"/>
    </font>
    <font>
      <b/>
      <sz val="10"/>
      <color theme="9" tint="-0.499984740745262"/>
      <name val="Arial"/>
      <family val="2"/>
    </font>
    <font>
      <b/>
      <i/>
      <sz val="10"/>
      <color theme="9" tint="-0.499984740745262"/>
      <name val="Arial"/>
      <family val="2"/>
    </font>
    <font>
      <b/>
      <sz val="10"/>
      <name val="Calibri"/>
      <family val="2"/>
    </font>
    <font>
      <b/>
      <sz val="10"/>
      <name val="Arial Narrow"/>
      <family val="2"/>
    </font>
    <font>
      <b/>
      <i/>
      <sz val="8"/>
      <name val="Arial Narrow"/>
      <family val="2"/>
    </font>
    <font>
      <b/>
      <vertAlign val="subscript"/>
      <sz val="12"/>
      <name val="Arial Narrow"/>
      <family val="2"/>
    </font>
    <font>
      <b/>
      <sz val="11"/>
      <name val="Arial"/>
      <family val="2"/>
    </font>
    <font>
      <b/>
      <i/>
      <sz val="11"/>
      <name val="Arial"/>
      <family val="2"/>
    </font>
    <font>
      <i/>
      <sz val="12"/>
      <color rgb="FF006600"/>
      <name val="Arial"/>
      <family val="2"/>
    </font>
    <font>
      <b/>
      <sz val="9"/>
      <name val="Arial Narrow"/>
      <family val="2"/>
    </font>
    <font>
      <sz val="11"/>
      <color rgb="FF006600"/>
      <name val="Arial"/>
      <family val="2"/>
    </font>
    <font>
      <u/>
      <sz val="11"/>
      <color theme="10"/>
      <name val="Arial"/>
      <family val="2"/>
    </font>
    <font>
      <sz val="12"/>
      <color theme="1"/>
      <name val="Arial"/>
      <family val="2"/>
    </font>
    <font>
      <b/>
      <sz val="12"/>
      <color theme="1"/>
      <name val="Arial"/>
      <family val="2"/>
    </font>
    <font>
      <b/>
      <i/>
      <sz val="12"/>
      <color theme="1"/>
      <name val="Arial"/>
      <family val="2"/>
    </font>
    <font>
      <u/>
      <sz val="12"/>
      <color theme="1"/>
      <name val="Arial"/>
      <family val="2"/>
    </font>
    <font>
      <i/>
      <sz val="12"/>
      <color indexed="81"/>
      <name val="Times New Roman"/>
      <family val="1"/>
    </font>
  </fonts>
  <fills count="7">
    <fill>
      <patternFill patternType="none"/>
    </fill>
    <fill>
      <patternFill patternType="gray125"/>
    </fill>
    <fill>
      <patternFill patternType="solid">
        <fgColor rgb="FFC6EFCE"/>
        <bgColor indexed="64"/>
      </patternFill>
    </fill>
    <fill>
      <patternFill patternType="solid">
        <fgColor rgb="FFFFEB9B"/>
        <bgColor indexed="64"/>
      </patternFill>
    </fill>
    <fill>
      <patternFill patternType="solid">
        <fgColor rgb="FFFFEB9C"/>
        <bgColor indexed="64"/>
      </patternFill>
    </fill>
    <fill>
      <patternFill patternType="solid">
        <fgColor theme="0"/>
        <bgColor indexed="64"/>
      </patternFill>
    </fill>
    <fill>
      <patternFill patternType="solid">
        <fgColor theme="5" tint="0.39997558519241921"/>
        <bgColor indexed="64"/>
      </patternFill>
    </fill>
  </fills>
  <borders count="22">
    <border>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theme="9" tint="-0.499984740745262"/>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7">
    <xf numFmtId="166" fontId="0" fillId="0" borderId="0"/>
    <xf numFmtId="164" fontId="1" fillId="0" borderId="0" applyFont="0" applyFill="0" applyBorder="0" applyAlignment="0" applyProtection="0"/>
    <xf numFmtId="167" fontId="14" fillId="0" borderId="0"/>
    <xf numFmtId="0" fontId="26" fillId="0" borderId="0"/>
    <xf numFmtId="0" fontId="2" fillId="0" borderId="0"/>
    <xf numFmtId="0" fontId="27" fillId="0" borderId="0" applyNumberFormat="0" applyFill="0" applyBorder="0" applyAlignment="0" applyProtection="0">
      <alignment vertical="top"/>
      <protection locked="0"/>
    </xf>
    <xf numFmtId="0" fontId="26" fillId="0" borderId="0"/>
    <xf numFmtId="0" fontId="2" fillId="0" borderId="0"/>
    <xf numFmtId="167" fontId="7" fillId="0" borderId="0"/>
    <xf numFmtId="0" fontId="1" fillId="0" borderId="0"/>
    <xf numFmtId="165" fontId="41" fillId="0" borderId="0" applyFont="0" applyFill="0" applyBorder="0" applyAlignment="0" applyProtection="0"/>
    <xf numFmtId="0" fontId="1" fillId="0" borderId="0"/>
    <xf numFmtId="0" fontId="1" fillId="0" borderId="0"/>
    <xf numFmtId="167" fontId="7" fillId="0" borderId="0"/>
    <xf numFmtId="167" fontId="7" fillId="0" borderId="0"/>
    <xf numFmtId="0" fontId="1" fillId="0" borderId="0"/>
    <xf numFmtId="0" fontId="1" fillId="0" borderId="0"/>
    <xf numFmtId="167" fontId="7" fillId="0" borderId="0"/>
    <xf numFmtId="0" fontId="1" fillId="0" borderId="0"/>
    <xf numFmtId="0" fontId="1" fillId="0" borderId="0"/>
    <xf numFmtId="0" fontId="1" fillId="0" borderId="0"/>
    <xf numFmtId="167" fontId="7" fillId="0" borderId="0"/>
    <xf numFmtId="0" fontId="1" fillId="0" borderId="0"/>
    <xf numFmtId="0" fontId="1" fillId="0" borderId="0"/>
    <xf numFmtId="167" fontId="7" fillId="0" borderId="0"/>
    <xf numFmtId="167" fontId="7" fillId="0" borderId="0"/>
    <xf numFmtId="0" fontId="1" fillId="0" borderId="0"/>
    <xf numFmtId="0" fontId="1" fillId="0" borderId="0"/>
    <xf numFmtId="0" fontId="1" fillId="0" borderId="0"/>
    <xf numFmtId="0" fontId="1" fillId="0" borderId="0"/>
    <xf numFmtId="0" fontId="1" fillId="0" borderId="0"/>
    <xf numFmtId="167" fontId="7" fillId="0" borderId="0"/>
    <xf numFmtId="0" fontId="1" fillId="0" borderId="0"/>
    <xf numFmtId="0" fontId="1" fillId="0" borderId="0"/>
    <xf numFmtId="167" fontId="7" fillId="0" borderId="0"/>
    <xf numFmtId="166" fontId="15" fillId="0" borderId="0"/>
    <xf numFmtId="166" fontId="15" fillId="0" borderId="0"/>
  </cellStyleXfs>
  <cellXfs count="311">
    <xf numFmtId="166" fontId="0" fillId="0" borderId="0" xfId="0"/>
    <xf numFmtId="166" fontId="2" fillId="0" borderId="0" xfId="0" applyFont="1" applyAlignment="1" applyProtection="1">
      <alignment horizontal="center"/>
    </xf>
    <xf numFmtId="166" fontId="2" fillId="0" borderId="0" xfId="0" applyFont="1"/>
    <xf numFmtId="167" fontId="2" fillId="0" borderId="0" xfId="0" applyNumberFormat="1" applyFont="1" applyProtection="1"/>
    <xf numFmtId="166" fontId="2" fillId="0" borderId="0" xfId="0" applyFont="1" applyProtection="1"/>
    <xf numFmtId="166" fontId="2" fillId="0" borderId="0" xfId="0" applyFont="1" applyAlignment="1" applyProtection="1">
      <alignment horizontal="left"/>
    </xf>
    <xf numFmtId="166" fontId="3" fillId="0" borderId="0" xfId="0" applyFont="1" applyFill="1" applyBorder="1" applyAlignment="1" applyProtection="1">
      <alignment horizontal="center"/>
    </xf>
    <xf numFmtId="166" fontId="5" fillId="0" borderId="0" xfId="0" applyFont="1"/>
    <xf numFmtId="166" fontId="2" fillId="0" borderId="0" xfId="0" applyFont="1" applyAlignment="1" applyProtection="1">
      <alignment horizontal="right"/>
    </xf>
    <xf numFmtId="166" fontId="2" fillId="0" borderId="0" xfId="0" quotePrefix="1" applyFont="1" applyAlignment="1" applyProtection="1">
      <alignment horizontal="left"/>
    </xf>
    <xf numFmtId="166" fontId="7" fillId="0" borderId="0" xfId="0" applyFont="1"/>
    <xf numFmtId="166" fontId="8" fillId="0" borderId="0" xfId="0" applyFont="1" applyFill="1" applyAlignment="1" applyProtection="1">
      <alignment horizontal="center"/>
    </xf>
    <xf numFmtId="166" fontId="4" fillId="0" borderId="0" xfId="0" quotePrefix="1" applyFont="1" applyAlignment="1" applyProtection="1">
      <alignment horizontal="left"/>
    </xf>
    <xf numFmtId="166" fontId="2" fillId="0" borderId="0" xfId="0" applyFont="1" applyAlignment="1">
      <alignment horizontal="right"/>
    </xf>
    <xf numFmtId="166" fontId="10" fillId="0" borderId="0" xfId="0" applyFont="1"/>
    <xf numFmtId="166" fontId="9" fillId="0" borderId="0" xfId="0" quotePrefix="1" applyFont="1" applyAlignment="1" applyProtection="1">
      <alignment horizontal="left"/>
    </xf>
    <xf numFmtId="166" fontId="11" fillId="0" borderId="0" xfId="0" applyFont="1"/>
    <xf numFmtId="167" fontId="2" fillId="0" borderId="0" xfId="0" applyNumberFormat="1" applyFont="1" applyFill="1" applyBorder="1" applyAlignment="1" applyProtection="1">
      <alignment horizontal="right"/>
    </xf>
    <xf numFmtId="167" fontId="2" fillId="0" borderId="0" xfId="0" applyNumberFormat="1" applyFont="1" applyFill="1" applyBorder="1" applyProtection="1"/>
    <xf numFmtId="167" fontId="2" fillId="0" borderId="0" xfId="0" applyNumberFormat="1" applyFont="1" applyFill="1" applyBorder="1" applyAlignment="1" applyProtection="1">
      <alignment horizontal="center"/>
    </xf>
    <xf numFmtId="168" fontId="3" fillId="0" borderId="0" xfId="0" applyNumberFormat="1" applyFont="1" applyFill="1" applyBorder="1" applyProtection="1"/>
    <xf numFmtId="166" fontId="15" fillId="0" borderId="0" xfId="0" applyFont="1"/>
    <xf numFmtId="166" fontId="2" fillId="0" borderId="0" xfId="0" applyFont="1" applyFill="1" applyProtection="1"/>
    <xf numFmtId="166" fontId="2" fillId="0" borderId="0" xfId="0" applyFont="1" applyFill="1"/>
    <xf numFmtId="2" fontId="2" fillId="0" borderId="0" xfId="1" applyNumberFormat="1" applyFont="1" applyFill="1" applyProtection="1"/>
    <xf numFmtId="166" fontId="0" fillId="0" borderId="0" xfId="0" applyFill="1"/>
    <xf numFmtId="166" fontId="9" fillId="0" borderId="0" xfId="0" applyFont="1" applyAlignment="1" applyProtection="1">
      <alignment horizontal="left"/>
    </xf>
    <xf numFmtId="166" fontId="10" fillId="0" borderId="0" xfId="0" applyFont="1" applyFill="1"/>
    <xf numFmtId="166" fontId="13" fillId="0" borderId="0" xfId="0" applyFont="1" applyAlignment="1" applyProtection="1">
      <alignment horizontal="right"/>
    </xf>
    <xf numFmtId="166" fontId="11" fillId="0" borderId="0" xfId="0" applyFont="1" applyAlignment="1" applyProtection="1">
      <alignment horizontal="right"/>
    </xf>
    <xf numFmtId="3" fontId="2" fillId="0" borderId="0" xfId="0" applyNumberFormat="1" applyFont="1" applyFill="1" applyProtection="1"/>
    <xf numFmtId="3" fontId="2" fillId="0" borderId="2" xfId="0" applyNumberFormat="1" applyFont="1" applyFill="1" applyBorder="1" applyProtection="1"/>
    <xf numFmtId="167" fontId="2" fillId="5" borderId="0" xfId="0" applyNumberFormat="1" applyFont="1" applyFill="1" applyProtection="1"/>
    <xf numFmtId="167" fontId="2" fillId="5" borderId="2" xfId="0" applyNumberFormat="1" applyFont="1" applyFill="1" applyBorder="1" applyProtection="1"/>
    <xf numFmtId="166" fontId="2" fillId="5" borderId="0" xfId="0" applyFont="1" applyFill="1" applyAlignment="1" applyProtection="1">
      <alignment horizontal="center"/>
    </xf>
    <xf numFmtId="166" fontId="2" fillId="5" borderId="0" xfId="0" applyFont="1" applyFill="1" applyProtection="1"/>
    <xf numFmtId="170" fontId="2" fillId="5" borderId="0" xfId="0" applyNumberFormat="1" applyFont="1" applyFill="1" applyProtection="1"/>
    <xf numFmtId="168" fontId="2" fillId="5" borderId="0" xfId="0" applyNumberFormat="1" applyFont="1" applyFill="1" applyBorder="1" applyProtection="1"/>
    <xf numFmtId="166" fontId="2" fillId="5" borderId="2" xfId="0" applyFont="1" applyFill="1" applyBorder="1" applyAlignment="1" applyProtection="1">
      <alignment horizontal="center"/>
    </xf>
    <xf numFmtId="166" fontId="2" fillId="5" borderId="2" xfId="0" applyFont="1" applyFill="1" applyBorder="1" applyProtection="1"/>
    <xf numFmtId="170" fontId="2" fillId="5" borderId="2" xfId="0" applyNumberFormat="1" applyFont="1" applyFill="1" applyBorder="1" applyProtection="1"/>
    <xf numFmtId="168" fontId="2" fillId="5" borderId="2" xfId="0" applyNumberFormat="1" applyFont="1" applyFill="1" applyBorder="1" applyProtection="1"/>
    <xf numFmtId="166" fontId="18" fillId="5" borderId="1" xfId="0" applyFont="1" applyFill="1" applyBorder="1" applyAlignment="1" applyProtection="1">
      <alignment horizontal="center"/>
    </xf>
    <xf numFmtId="166" fontId="18" fillId="5" borderId="2" xfId="0" applyFont="1" applyFill="1" applyBorder="1" applyAlignment="1" applyProtection="1">
      <alignment horizontal="center"/>
    </xf>
    <xf numFmtId="166" fontId="18" fillId="5" borderId="2" xfId="0" quotePrefix="1" applyFont="1" applyFill="1" applyBorder="1" applyAlignment="1" applyProtection="1">
      <alignment horizontal="center"/>
    </xf>
    <xf numFmtId="166" fontId="21" fillId="5" borderId="2" xfId="0" applyFont="1" applyFill="1" applyBorder="1" applyAlignment="1" applyProtection="1">
      <alignment horizontal="center"/>
    </xf>
    <xf numFmtId="167" fontId="18" fillId="5" borderId="2" xfId="0" applyNumberFormat="1" applyFont="1" applyFill="1" applyBorder="1" applyAlignment="1" applyProtection="1">
      <alignment horizontal="center"/>
    </xf>
    <xf numFmtId="166" fontId="18" fillId="5" borderId="1" xfId="0" applyFont="1" applyFill="1" applyBorder="1"/>
    <xf numFmtId="166" fontId="18" fillId="5" borderId="0" xfId="0" applyFont="1" applyFill="1" applyBorder="1" applyAlignment="1" applyProtection="1">
      <alignment horizontal="center"/>
    </xf>
    <xf numFmtId="166" fontId="20" fillId="5" borderId="2" xfId="0" applyFont="1" applyFill="1" applyBorder="1" applyAlignment="1" applyProtection="1">
      <alignment horizontal="center"/>
    </xf>
    <xf numFmtId="166" fontId="20" fillId="5" borderId="0" xfId="0" applyFont="1" applyFill="1" applyBorder="1" applyAlignment="1" applyProtection="1">
      <alignment horizontal="center"/>
    </xf>
    <xf numFmtId="168" fontId="2" fillId="5" borderId="0" xfId="0" applyNumberFormat="1" applyFont="1" applyFill="1" applyProtection="1"/>
    <xf numFmtId="166" fontId="18" fillId="5" borderId="1" xfId="0" applyFont="1" applyFill="1" applyBorder="1" applyAlignment="1">
      <alignment horizontal="center"/>
    </xf>
    <xf numFmtId="166" fontId="18" fillId="5" borderId="0" xfId="0" quotePrefix="1" applyFont="1" applyFill="1" applyBorder="1" applyAlignment="1" applyProtection="1">
      <alignment horizontal="center"/>
    </xf>
    <xf numFmtId="166" fontId="18" fillId="5" borderId="0" xfId="0" applyFont="1" applyFill="1" applyBorder="1"/>
    <xf numFmtId="3" fontId="2" fillId="5" borderId="0" xfId="0" applyNumberFormat="1" applyFont="1" applyFill="1" applyProtection="1"/>
    <xf numFmtId="3" fontId="2" fillId="5" borderId="2" xfId="0" applyNumberFormat="1" applyFont="1" applyFill="1" applyBorder="1" applyProtection="1"/>
    <xf numFmtId="166" fontId="2" fillId="5" borderId="0" xfId="0" applyFont="1" applyFill="1" applyBorder="1" applyAlignment="1" applyProtection="1">
      <alignment horizontal="center"/>
    </xf>
    <xf numFmtId="166" fontId="2" fillId="5" borderId="2" xfId="0" quotePrefix="1" applyFont="1" applyFill="1" applyBorder="1" applyAlignment="1" applyProtection="1">
      <alignment horizontal="center"/>
    </xf>
    <xf numFmtId="166" fontId="25" fillId="5" borderId="2" xfId="0" quotePrefix="1" applyFont="1" applyFill="1" applyBorder="1" applyAlignment="1" applyProtection="1">
      <alignment horizontal="center"/>
    </xf>
    <xf numFmtId="166" fontId="0" fillId="5" borderId="2" xfId="0" applyFill="1" applyBorder="1"/>
    <xf numFmtId="168" fontId="3" fillId="5" borderId="2" xfId="0" applyNumberFormat="1" applyFont="1" applyFill="1" applyBorder="1" applyProtection="1"/>
    <xf numFmtId="166" fontId="18" fillId="5" borderId="0" xfId="0" applyFont="1" applyFill="1" applyBorder="1" applyAlignment="1">
      <alignment horizontal="center"/>
    </xf>
    <xf numFmtId="167" fontId="1" fillId="5" borderId="0" xfId="0" applyNumberFormat="1" applyFont="1" applyFill="1" applyProtection="1"/>
    <xf numFmtId="167" fontId="1" fillId="5" borderId="2" xfId="0" applyNumberFormat="1" applyFont="1" applyFill="1" applyBorder="1" applyProtection="1"/>
    <xf numFmtId="170" fontId="1" fillId="5" borderId="0" xfId="0" applyNumberFormat="1" applyFont="1" applyFill="1" applyBorder="1" applyProtection="1"/>
    <xf numFmtId="170" fontId="1" fillId="5" borderId="2" xfId="0" applyNumberFormat="1" applyFont="1" applyFill="1" applyBorder="1" applyProtection="1"/>
    <xf numFmtId="166" fontId="21" fillId="5" borderId="0" xfId="0" applyFont="1" applyFill="1" applyBorder="1" applyAlignment="1" applyProtection="1">
      <alignment horizontal="center"/>
    </xf>
    <xf numFmtId="167" fontId="18" fillId="5" borderId="0" xfId="0" applyNumberFormat="1" applyFont="1" applyFill="1" applyBorder="1" applyAlignment="1" applyProtection="1">
      <alignment horizontal="center"/>
    </xf>
    <xf numFmtId="166" fontId="1" fillId="5" borderId="0" xfId="0" applyFont="1" applyFill="1" applyAlignment="1" applyProtection="1">
      <alignment horizontal="center"/>
    </xf>
    <xf numFmtId="166" fontId="1" fillId="5" borderId="0" xfId="0" quotePrefix="1" applyFont="1" applyFill="1" applyAlignment="1" applyProtection="1">
      <alignment horizontal="center"/>
    </xf>
    <xf numFmtId="166" fontId="1" fillId="0" borderId="0" xfId="0" applyFont="1" applyFill="1" applyAlignment="1" applyProtection="1">
      <alignment horizontal="left"/>
    </xf>
    <xf numFmtId="167" fontId="34" fillId="0" borderId="0" xfId="0" applyNumberFormat="1" applyFont="1"/>
    <xf numFmtId="167" fontId="34" fillId="5" borderId="2" xfId="0" applyNumberFormat="1" applyFont="1" applyFill="1" applyBorder="1" applyProtection="1"/>
    <xf numFmtId="166" fontId="1" fillId="0" borderId="0" xfId="0" applyFont="1" applyFill="1"/>
    <xf numFmtId="166" fontId="1" fillId="0" borderId="0" xfId="0" applyFont="1" applyFill="1" applyBorder="1"/>
    <xf numFmtId="167" fontId="1" fillId="0" borderId="0" xfId="0" applyNumberFormat="1" applyFont="1" applyFill="1" applyBorder="1" applyProtection="1"/>
    <xf numFmtId="166" fontId="24" fillId="0" borderId="0" xfId="0" applyFont="1" applyFill="1" applyBorder="1" applyAlignment="1" applyProtection="1">
      <alignment horizontal="center"/>
    </xf>
    <xf numFmtId="167" fontId="1" fillId="5" borderId="0" xfId="0" applyNumberFormat="1" applyFont="1" applyFill="1" applyAlignment="1" applyProtection="1">
      <alignment horizontal="center"/>
    </xf>
    <xf numFmtId="167" fontId="1" fillId="5" borderId="0" xfId="0" applyNumberFormat="1" applyFont="1" applyFill="1" applyAlignment="1" applyProtection="1">
      <alignment horizontal="left"/>
    </xf>
    <xf numFmtId="170" fontId="1" fillId="5" borderId="0" xfId="0" applyNumberFormat="1" applyFont="1" applyFill="1" applyProtection="1"/>
    <xf numFmtId="166" fontId="1" fillId="5" borderId="0" xfId="0" applyNumberFormat="1" applyFont="1" applyFill="1" applyProtection="1"/>
    <xf numFmtId="166" fontId="1" fillId="5" borderId="2" xfId="0" applyNumberFormat="1" applyFont="1" applyFill="1" applyBorder="1" applyProtection="1"/>
    <xf numFmtId="166" fontId="0" fillId="5" borderId="1" xfId="0" applyFill="1" applyBorder="1"/>
    <xf numFmtId="167" fontId="34" fillId="5" borderId="2" xfId="0" applyNumberFormat="1" applyFont="1" applyFill="1" applyBorder="1" applyAlignment="1" applyProtection="1">
      <alignment horizontal="center"/>
    </xf>
    <xf numFmtId="167" fontId="34" fillId="5" borderId="0" xfId="0" applyNumberFormat="1" applyFont="1" applyFill="1" applyBorder="1" applyAlignment="1" applyProtection="1">
      <alignment horizontal="center"/>
    </xf>
    <xf numFmtId="167" fontId="34" fillId="5" borderId="0" xfId="0" applyNumberFormat="1" applyFont="1" applyFill="1" applyBorder="1" applyProtection="1"/>
    <xf numFmtId="167" fontId="1" fillId="5" borderId="0" xfId="0" applyNumberFormat="1" applyFont="1" applyFill="1" applyBorder="1"/>
    <xf numFmtId="167" fontId="1" fillId="5" borderId="0" xfId="0" applyNumberFormat="1" applyFont="1" applyFill="1" applyBorder="1" applyAlignment="1" applyProtection="1">
      <alignment horizontal="center"/>
    </xf>
    <xf numFmtId="167" fontId="1" fillId="5" borderId="0" xfId="0" applyNumberFormat="1" applyFont="1" applyFill="1" applyBorder="1" applyProtection="1"/>
    <xf numFmtId="167" fontId="1" fillId="5" borderId="0" xfId="0" applyNumberFormat="1" applyFont="1" applyFill="1" applyBorder="1" applyAlignment="1" applyProtection="1">
      <alignment horizontal="left"/>
    </xf>
    <xf numFmtId="167" fontId="34" fillId="0" borderId="0" xfId="0" applyNumberFormat="1" applyFont="1" applyFill="1"/>
    <xf numFmtId="167" fontId="1" fillId="0" borderId="0" xfId="0" applyNumberFormat="1" applyFont="1" applyFill="1" applyProtection="1"/>
    <xf numFmtId="166" fontId="1" fillId="0" borderId="0" xfId="0" applyFont="1" applyFill="1" applyAlignment="1">
      <alignment horizontal="right"/>
    </xf>
    <xf numFmtId="166" fontId="2" fillId="5" borderId="0" xfId="0" applyFont="1" applyFill="1" applyBorder="1" applyProtection="1"/>
    <xf numFmtId="167" fontId="2" fillId="5" borderId="0" xfId="0" applyNumberFormat="1" applyFont="1" applyFill="1" applyBorder="1" applyProtection="1"/>
    <xf numFmtId="170" fontId="2" fillId="5" borderId="0" xfId="0" applyNumberFormat="1" applyFont="1" applyFill="1" applyBorder="1" applyProtection="1"/>
    <xf numFmtId="166" fontId="9" fillId="0" borderId="0" xfId="0" applyFont="1" applyFill="1"/>
    <xf numFmtId="2" fontId="37" fillId="0" borderId="0" xfId="1" applyNumberFormat="1" applyFont="1" applyFill="1" applyBorder="1" applyProtection="1"/>
    <xf numFmtId="1" fontId="0" fillId="0" borderId="0" xfId="0" applyNumberFormat="1"/>
    <xf numFmtId="166" fontId="25" fillId="5" borderId="0" xfId="0" quotePrefix="1" applyFont="1" applyFill="1" applyBorder="1" applyAlignment="1" applyProtection="1">
      <alignment horizontal="center"/>
    </xf>
    <xf numFmtId="166" fontId="0" fillId="5" borderId="0" xfId="0" applyFill="1" applyBorder="1"/>
    <xf numFmtId="167" fontId="1" fillId="5" borderId="1" xfId="0" applyNumberFormat="1" applyFont="1" applyFill="1" applyBorder="1" applyProtection="1"/>
    <xf numFmtId="167" fontId="1" fillId="0" borderId="0" xfId="0" applyNumberFormat="1" applyFont="1" applyAlignment="1" applyProtection="1">
      <alignment horizontal="left"/>
    </xf>
    <xf numFmtId="0" fontId="9" fillId="0" borderId="0" xfId="9" applyFont="1" applyFill="1" applyAlignment="1">
      <alignment horizontal="center"/>
    </xf>
    <xf numFmtId="166" fontId="10" fillId="0" borderId="0" xfId="0" applyFont="1" applyAlignment="1">
      <alignment wrapText="1"/>
    </xf>
    <xf numFmtId="166" fontId="9" fillId="0" borderId="0" xfId="0" applyFont="1"/>
    <xf numFmtId="14" fontId="10" fillId="0" borderId="0" xfId="0" applyNumberFormat="1" applyFont="1"/>
    <xf numFmtId="14" fontId="10" fillId="0" borderId="0" xfId="0" applyNumberFormat="1" applyFont="1" applyAlignment="1">
      <alignment wrapText="1"/>
    </xf>
    <xf numFmtId="166" fontId="38" fillId="0" borderId="0" xfId="0" applyFont="1"/>
    <xf numFmtId="166" fontId="10" fillId="0" borderId="0" xfId="0" applyFont="1" applyBorder="1"/>
    <xf numFmtId="166" fontId="10" fillId="0" borderId="0" xfId="0" applyFont="1" applyBorder="1" applyProtection="1">
      <protection hidden="1"/>
    </xf>
    <xf numFmtId="166" fontId="10" fillId="0" borderId="0" xfId="0" applyFont="1" applyProtection="1">
      <protection hidden="1"/>
    </xf>
    <xf numFmtId="166" fontId="17" fillId="0" borderId="0" xfId="0" applyFont="1" applyBorder="1"/>
    <xf numFmtId="173" fontId="0" fillId="0" borderId="0" xfId="0" applyNumberFormat="1" applyBorder="1" applyProtection="1">
      <protection hidden="1"/>
    </xf>
    <xf numFmtId="173" fontId="0" fillId="0" borderId="0" xfId="0" applyNumberFormat="1" applyBorder="1"/>
    <xf numFmtId="166" fontId="10" fillId="0" borderId="5" xfId="0" applyFont="1" applyFill="1" applyBorder="1" applyAlignment="1">
      <alignment wrapText="1"/>
    </xf>
    <xf numFmtId="166" fontId="1" fillId="0" borderId="0" xfId="0" applyFont="1" applyAlignment="1" applyProtection="1">
      <alignment horizontal="right"/>
    </xf>
    <xf numFmtId="170" fontId="1" fillId="5" borderId="0" xfId="1" applyNumberFormat="1" applyFont="1" applyFill="1" applyBorder="1" applyProtection="1"/>
    <xf numFmtId="166" fontId="1" fillId="0" borderId="0" xfId="0" applyFont="1" applyProtection="1"/>
    <xf numFmtId="170" fontId="1" fillId="5" borderId="2" xfId="1" applyNumberFormat="1" applyFont="1" applyFill="1" applyBorder="1" applyProtection="1"/>
    <xf numFmtId="168" fontId="18" fillId="5" borderId="2" xfId="0" applyNumberFormat="1" applyFont="1" applyFill="1" applyBorder="1" applyAlignment="1" applyProtection="1">
      <alignment horizontal="right"/>
    </xf>
    <xf numFmtId="168" fontId="18" fillId="5" borderId="2" xfId="0" applyNumberFormat="1" applyFont="1" applyFill="1" applyBorder="1" applyAlignment="1" applyProtection="1">
      <alignment horizontal="center"/>
    </xf>
    <xf numFmtId="166" fontId="22" fillId="5" borderId="2" xfId="0" applyFont="1" applyFill="1" applyBorder="1" applyAlignment="1" applyProtection="1">
      <alignment horizontal="center"/>
    </xf>
    <xf numFmtId="167" fontId="2" fillId="5" borderId="2" xfId="0" applyNumberFormat="1" applyFont="1" applyFill="1" applyBorder="1" applyProtection="1">
      <protection locked="0"/>
    </xf>
    <xf numFmtId="167" fontId="2" fillId="5" borderId="0" xfId="0" applyNumberFormat="1" applyFont="1" applyFill="1" applyBorder="1" applyProtection="1">
      <protection locked="0"/>
    </xf>
    <xf numFmtId="166" fontId="10" fillId="0" borderId="0" xfId="0" applyFont="1" applyAlignment="1">
      <alignment vertical="top"/>
    </xf>
    <xf numFmtId="0" fontId="9" fillId="4" borderId="8" xfId="9" applyFont="1" applyFill="1" applyBorder="1" applyAlignment="1">
      <alignment horizontal="center"/>
    </xf>
    <xf numFmtId="174" fontId="1" fillId="5" borderId="0" xfId="0" applyNumberFormat="1" applyFont="1" applyFill="1" applyAlignment="1" applyProtection="1">
      <alignment horizontal="left"/>
    </xf>
    <xf numFmtId="1" fontId="2" fillId="5" borderId="0" xfId="0" applyNumberFormat="1" applyFont="1" applyFill="1"/>
    <xf numFmtId="166" fontId="40" fillId="0" borderId="0" xfId="0" applyFont="1" applyAlignment="1">
      <alignment vertical="top"/>
    </xf>
    <xf numFmtId="166" fontId="10" fillId="0" borderId="0" xfId="0" applyFont="1" applyAlignment="1">
      <alignment vertical="top" wrapText="1"/>
    </xf>
    <xf numFmtId="1" fontId="1" fillId="5" borderId="0" xfId="0" applyNumberFormat="1" applyFont="1" applyFill="1" applyBorder="1" applyAlignment="1" applyProtection="1">
      <alignment horizontal="center"/>
      <protection hidden="1"/>
    </xf>
    <xf numFmtId="1" fontId="1" fillId="5" borderId="2" xfId="0" applyNumberFormat="1" applyFont="1" applyFill="1" applyBorder="1" applyAlignment="1" applyProtection="1">
      <alignment horizontal="center"/>
      <protection hidden="1"/>
    </xf>
    <xf numFmtId="168" fontId="2" fillId="5" borderId="2" xfId="0" applyNumberFormat="1" applyFont="1" applyFill="1" applyBorder="1" applyProtection="1">
      <protection locked="0"/>
    </xf>
    <xf numFmtId="168" fontId="2" fillId="5" borderId="0" xfId="0" applyNumberFormat="1" applyFont="1" applyFill="1" applyBorder="1" applyProtection="1">
      <protection locked="0"/>
    </xf>
    <xf numFmtId="167" fontId="18" fillId="5" borderId="0" xfId="0" applyNumberFormat="1" applyFont="1" applyFill="1" applyBorder="1" applyProtection="1"/>
    <xf numFmtId="166" fontId="2" fillId="5" borderId="1" xfId="0" applyFont="1" applyFill="1" applyBorder="1"/>
    <xf numFmtId="166" fontId="19" fillId="5" borderId="0" xfId="0" applyFont="1" applyFill="1" applyBorder="1" applyAlignment="1" applyProtection="1">
      <alignment horizontal="center"/>
    </xf>
    <xf numFmtId="2" fontId="2" fillId="5" borderId="1" xfId="0" applyNumberFormat="1" applyFont="1" applyFill="1" applyBorder="1" applyProtection="1"/>
    <xf numFmtId="166" fontId="18" fillId="5" borderId="0" xfId="0" applyFont="1" applyFill="1" applyBorder="1" applyAlignment="1" applyProtection="1">
      <alignment horizontal="left"/>
    </xf>
    <xf numFmtId="166" fontId="9" fillId="5" borderId="1" xfId="0" quotePrefix="1" applyFont="1" applyFill="1" applyBorder="1" applyAlignment="1" applyProtection="1">
      <alignment horizontal="left"/>
    </xf>
    <xf numFmtId="166" fontId="1" fillId="5" borderId="1" xfId="0" applyFont="1" applyFill="1" applyBorder="1" applyAlignment="1" applyProtection="1">
      <alignment horizontal="left"/>
    </xf>
    <xf numFmtId="166" fontId="9" fillId="5" borderId="1" xfId="0" applyFont="1" applyFill="1" applyBorder="1"/>
    <xf numFmtId="166" fontId="2" fillId="5" borderId="1" xfId="0" quotePrefix="1" applyFont="1" applyFill="1" applyBorder="1" applyAlignment="1" applyProtection="1">
      <alignment horizontal="left"/>
    </xf>
    <xf numFmtId="167" fontId="2" fillId="5" borderId="0" xfId="0" applyNumberFormat="1" applyFont="1" applyFill="1" applyAlignment="1" applyProtection="1">
      <alignment horizontal="right"/>
    </xf>
    <xf numFmtId="167" fontId="2" fillId="5" borderId="2" xfId="0" applyNumberFormat="1" applyFont="1" applyFill="1" applyBorder="1" applyAlignment="1" applyProtection="1">
      <alignment horizontal="right"/>
    </xf>
    <xf numFmtId="167" fontId="1" fillId="5" borderId="0" xfId="0" applyNumberFormat="1" applyFont="1" applyFill="1" applyAlignment="1" applyProtection="1">
      <alignment horizontal="right"/>
    </xf>
    <xf numFmtId="167" fontId="1" fillId="5" borderId="2" xfId="0" applyNumberFormat="1" applyFont="1" applyFill="1" applyBorder="1" applyAlignment="1" applyProtection="1">
      <alignment horizontal="right"/>
    </xf>
    <xf numFmtId="174" fontId="1" fillId="5" borderId="0" xfId="0" quotePrefix="1" applyNumberFormat="1" applyFont="1" applyFill="1" applyAlignment="1" applyProtection="1">
      <alignment horizontal="left"/>
    </xf>
    <xf numFmtId="170" fontId="2" fillId="0" borderId="0" xfId="0" applyNumberFormat="1" applyFont="1" applyFill="1" applyBorder="1" applyProtection="1"/>
    <xf numFmtId="166" fontId="1" fillId="0" borderId="0" xfId="0" applyFont="1" applyAlignment="1" applyProtection="1">
      <alignment horizontal="left"/>
    </xf>
    <xf numFmtId="166" fontId="0" fillId="0" borderId="0" xfId="0"/>
    <xf numFmtId="166" fontId="1" fillId="0" borderId="0" xfId="0" applyFont="1"/>
    <xf numFmtId="166" fontId="18" fillId="5" borderId="2" xfId="0" applyFont="1" applyFill="1" applyBorder="1" applyAlignment="1" applyProtection="1">
      <alignment horizontal="center"/>
    </xf>
    <xf numFmtId="166" fontId="18" fillId="5" borderId="0" xfId="0" applyFont="1" applyFill="1" applyBorder="1" applyAlignment="1" applyProtection="1">
      <alignment horizontal="center"/>
    </xf>
    <xf numFmtId="166" fontId="1" fillId="5" borderId="1" xfId="0" applyFont="1" applyFill="1" applyBorder="1"/>
    <xf numFmtId="167" fontId="18" fillId="5" borderId="0" xfId="0" applyNumberFormat="1" applyFont="1" applyFill="1" applyBorder="1" applyAlignment="1" applyProtection="1">
      <alignment horizontal="center"/>
    </xf>
    <xf numFmtId="166" fontId="18" fillId="5" borderId="2" xfId="0" applyFont="1" applyFill="1" applyBorder="1" applyAlignment="1" applyProtection="1">
      <alignment horizontal="center"/>
    </xf>
    <xf numFmtId="166" fontId="1" fillId="5" borderId="2" xfId="0" applyFont="1" applyFill="1" applyBorder="1" applyAlignment="1" applyProtection="1">
      <alignment horizontal="center"/>
    </xf>
    <xf numFmtId="166" fontId="10" fillId="0" borderId="0" xfId="0" applyFont="1" applyProtection="1"/>
    <xf numFmtId="166" fontId="10" fillId="5" borderId="1" xfId="0" applyFont="1" applyFill="1" applyBorder="1" applyProtection="1"/>
    <xf numFmtId="166" fontId="2" fillId="5" borderId="1" xfId="0" applyFont="1" applyFill="1" applyBorder="1" applyProtection="1"/>
    <xf numFmtId="166" fontId="18" fillId="5" borderId="1" xfId="0" applyFont="1" applyFill="1" applyBorder="1" applyProtection="1"/>
    <xf numFmtId="166" fontId="16" fillId="5" borderId="2" xfId="0" applyFont="1" applyFill="1" applyBorder="1" applyProtection="1"/>
    <xf numFmtId="166" fontId="16" fillId="5" borderId="0" xfId="0" applyFont="1" applyFill="1" applyBorder="1" applyProtection="1"/>
    <xf numFmtId="1" fontId="0" fillId="0" borderId="0" xfId="0" applyNumberFormat="1" applyProtection="1"/>
    <xf numFmtId="166" fontId="0" fillId="0" borderId="0" xfId="0" applyProtection="1"/>
    <xf numFmtId="166" fontId="1" fillId="5" borderId="1" xfId="0" applyFont="1" applyFill="1" applyBorder="1" applyProtection="1"/>
    <xf numFmtId="166" fontId="1" fillId="0" borderId="0" xfId="0" applyFont="1" applyFill="1" applyProtection="1"/>
    <xf numFmtId="166" fontId="9" fillId="0" borderId="0" xfId="0" applyFont="1" applyFill="1" applyProtection="1"/>
    <xf numFmtId="166" fontId="9" fillId="5" borderId="1" xfId="0" applyFont="1" applyFill="1" applyBorder="1" applyProtection="1"/>
    <xf numFmtId="166" fontId="18" fillId="5" borderId="0" xfId="0" applyFont="1" applyFill="1" applyBorder="1" applyProtection="1"/>
    <xf numFmtId="170" fontId="1" fillId="0" borderId="0" xfId="0" applyNumberFormat="1" applyFont="1" applyProtection="1"/>
    <xf numFmtId="173" fontId="10" fillId="0" borderId="0" xfId="0" applyNumberFormat="1" applyFont="1" applyProtection="1"/>
    <xf numFmtId="166" fontId="37" fillId="0" borderId="0" xfId="0" applyFont="1" applyFill="1" applyProtection="1"/>
    <xf numFmtId="166" fontId="10" fillId="0" borderId="0" xfId="0" applyFont="1" applyFill="1" applyBorder="1" applyProtection="1"/>
    <xf numFmtId="166" fontId="38" fillId="0" borderId="0" xfId="0" applyFont="1" applyFill="1" applyBorder="1" applyProtection="1"/>
    <xf numFmtId="166" fontId="10" fillId="0" borderId="0" xfId="0" applyFont="1" applyFill="1" applyProtection="1"/>
    <xf numFmtId="171" fontId="10" fillId="0" borderId="0" xfId="0" applyNumberFormat="1" applyFont="1" applyProtection="1"/>
    <xf numFmtId="166" fontId="5" fillId="0" borderId="0" xfId="0" applyFont="1" applyProtection="1"/>
    <xf numFmtId="166" fontId="5" fillId="0" borderId="0" xfId="0" applyFont="1" applyFill="1" applyProtection="1"/>
    <xf numFmtId="173" fontId="1" fillId="5" borderId="0" xfId="0" applyNumberFormat="1" applyFont="1" applyFill="1" applyBorder="1" applyProtection="1"/>
    <xf numFmtId="173" fontId="1" fillId="5" borderId="2" xfId="0" applyNumberFormat="1" applyFont="1" applyFill="1" applyBorder="1" applyProtection="1"/>
    <xf numFmtId="14" fontId="1" fillId="0" borderId="0" xfId="0" applyNumberFormat="1" applyFont="1" applyFill="1" applyProtection="1"/>
    <xf numFmtId="14" fontId="1" fillId="0" borderId="0" xfId="0" applyNumberFormat="1" applyFont="1" applyFill="1" applyProtection="1">
      <protection locked="0"/>
    </xf>
    <xf numFmtId="171" fontId="48" fillId="2" borderId="0" xfId="0" applyNumberFormat="1" applyFont="1" applyFill="1" applyAlignment="1" applyProtection="1">
      <alignment horizontal="right"/>
      <protection locked="0"/>
    </xf>
    <xf numFmtId="171" fontId="48" fillId="2" borderId="2" xfId="0" applyNumberFormat="1" applyFont="1" applyFill="1" applyBorder="1" applyAlignment="1" applyProtection="1">
      <alignment horizontal="right"/>
      <protection locked="0"/>
    </xf>
    <xf numFmtId="3" fontId="48" fillId="2" borderId="2" xfId="0" applyNumberFormat="1" applyFont="1" applyFill="1" applyBorder="1" applyProtection="1">
      <protection locked="0"/>
    </xf>
    <xf numFmtId="170" fontId="49" fillId="4" borderId="0" xfId="0" applyNumberFormat="1" applyFont="1" applyFill="1" applyBorder="1" applyProtection="1"/>
    <xf numFmtId="168" fontId="49" fillId="3" borderId="0" xfId="0" applyNumberFormat="1" applyFont="1" applyFill="1" applyProtection="1"/>
    <xf numFmtId="170" fontId="49" fillId="3" borderId="0" xfId="1" applyNumberFormat="1" applyFont="1" applyFill="1" applyBorder="1" applyProtection="1"/>
    <xf numFmtId="172" fontId="49" fillId="4" borderId="0" xfId="0" applyNumberFormat="1" applyFont="1" applyFill="1" applyProtection="1"/>
    <xf numFmtId="172" fontId="49" fillId="4" borderId="0" xfId="0" applyNumberFormat="1" applyFont="1" applyFill="1" applyBorder="1" applyProtection="1"/>
    <xf numFmtId="170" fontId="49" fillId="3" borderId="2" xfId="1" applyNumberFormat="1" applyFont="1" applyFill="1" applyBorder="1" applyProtection="1"/>
    <xf numFmtId="172" fontId="49" fillId="4" borderId="2" xfId="0" applyNumberFormat="1" applyFont="1" applyFill="1" applyBorder="1" applyProtection="1"/>
    <xf numFmtId="166" fontId="50" fillId="3" borderId="9" xfId="0" applyNumberFormat="1" applyFont="1" applyFill="1" applyBorder="1" applyAlignment="1" applyProtection="1">
      <alignment horizontal="right" vertical="center"/>
    </xf>
    <xf numFmtId="2" fontId="50" fillId="3" borderId="10" xfId="1" applyNumberFormat="1" applyFont="1" applyFill="1" applyBorder="1" applyProtection="1"/>
    <xf numFmtId="2" fontId="50" fillId="4" borderId="11" xfId="0" applyNumberFormat="1" applyFont="1" applyFill="1" applyBorder="1" applyProtection="1"/>
    <xf numFmtId="3" fontId="48" fillId="2" borderId="0" xfId="0" applyNumberFormat="1" applyFont="1" applyFill="1" applyBorder="1" applyProtection="1">
      <protection locked="0"/>
    </xf>
    <xf numFmtId="168" fontId="49" fillId="4" borderId="0" xfId="0" applyNumberFormat="1" applyFont="1" applyFill="1" applyBorder="1" applyProtection="1"/>
    <xf numFmtId="166" fontId="10" fillId="0" borderId="0" xfId="0" applyNumberFormat="1" applyFont="1" applyProtection="1"/>
    <xf numFmtId="2" fontId="10" fillId="0" borderId="0" xfId="0" applyNumberFormat="1" applyFont="1" applyProtection="1"/>
    <xf numFmtId="167" fontId="18" fillId="5" borderId="0" xfId="0" applyNumberFormat="1" applyFont="1" applyFill="1" applyBorder="1" applyAlignment="1" applyProtection="1">
      <alignment horizontal="center"/>
    </xf>
    <xf numFmtId="166" fontId="1" fillId="5" borderId="2" xfId="0" applyFont="1" applyFill="1" applyBorder="1" applyAlignment="1" applyProtection="1">
      <alignment horizontal="center"/>
    </xf>
    <xf numFmtId="166" fontId="18" fillId="5" borderId="1" xfId="0" applyFont="1" applyFill="1" applyBorder="1" applyAlignment="1" applyProtection="1">
      <alignment horizontal="center" wrapText="1"/>
    </xf>
    <xf numFmtId="166" fontId="18" fillId="5" borderId="0" xfId="0" applyFont="1" applyFill="1" applyBorder="1" applyAlignment="1" applyProtection="1">
      <alignment horizontal="center" wrapText="1"/>
    </xf>
    <xf numFmtId="0" fontId="18" fillId="5" borderId="1" xfId="0" applyNumberFormat="1" applyFont="1" applyFill="1" applyBorder="1" applyAlignment="1">
      <alignment horizontal="center" wrapText="1"/>
    </xf>
    <xf numFmtId="0" fontId="0" fillId="0" borderId="2" xfId="0" applyNumberFormat="1" applyBorder="1" applyAlignment="1">
      <alignment horizontal="center" wrapText="1"/>
    </xf>
    <xf numFmtId="166" fontId="18" fillId="5" borderId="2" xfId="0" applyFont="1" applyFill="1" applyBorder="1" applyAlignment="1" applyProtection="1">
      <alignment horizontal="center"/>
    </xf>
    <xf numFmtId="175" fontId="1" fillId="5" borderId="0" xfId="0" applyNumberFormat="1" applyFont="1" applyFill="1" applyProtection="1"/>
    <xf numFmtId="175" fontId="1" fillId="5" borderId="2" xfId="0" applyNumberFormat="1" applyFont="1" applyFill="1" applyBorder="1" applyProtection="1"/>
    <xf numFmtId="169" fontId="1" fillId="5" borderId="0" xfId="0" applyNumberFormat="1" applyFont="1" applyFill="1" applyAlignment="1" applyProtection="1">
      <alignment horizontal="center"/>
    </xf>
    <xf numFmtId="166" fontId="1" fillId="6" borderId="0" xfId="0" applyFont="1" applyFill="1" applyAlignment="1" applyProtection="1">
      <alignment horizontal="center"/>
    </xf>
    <xf numFmtId="167" fontId="1" fillId="6" borderId="0" xfId="2" applyNumberFormat="1" applyFont="1" applyFill="1" applyProtection="1"/>
    <xf numFmtId="175" fontId="1" fillId="6" borderId="0" xfId="2" applyNumberFormat="1" applyFont="1" applyFill="1" applyProtection="1"/>
    <xf numFmtId="167" fontId="1" fillId="5" borderId="0" xfId="2" applyNumberFormat="1" applyFont="1" applyFill="1" applyProtection="1"/>
    <xf numFmtId="175" fontId="1" fillId="5" borderId="0" xfId="2" applyNumberFormat="1" applyFont="1" applyFill="1" applyProtection="1"/>
    <xf numFmtId="167" fontId="1" fillId="5" borderId="2" xfId="2" applyNumberFormat="1" applyFont="1" applyFill="1" applyBorder="1" applyProtection="1"/>
    <xf numFmtId="175" fontId="1" fillId="5" borderId="2" xfId="2" applyNumberFormat="1" applyFont="1" applyFill="1" applyBorder="1" applyProtection="1"/>
    <xf numFmtId="169" fontId="1" fillId="5" borderId="2" xfId="0" applyNumberFormat="1" applyFont="1" applyFill="1" applyBorder="1" applyAlignment="1" applyProtection="1">
      <alignment horizontal="center"/>
    </xf>
    <xf numFmtId="166" fontId="1" fillId="5" borderId="0" xfId="0" applyFont="1" applyFill="1" applyBorder="1" applyAlignment="1" applyProtection="1">
      <alignment horizontal="center"/>
    </xf>
    <xf numFmtId="166" fontId="1" fillId="5" borderId="0" xfId="0" applyNumberFormat="1" applyFont="1" applyFill="1" applyBorder="1" applyProtection="1"/>
    <xf numFmtId="166" fontId="45" fillId="5" borderId="2" xfId="0" applyFont="1" applyFill="1" applyBorder="1"/>
    <xf numFmtId="166" fontId="18" fillId="5" borderId="7" xfId="0" applyFont="1" applyFill="1" applyBorder="1" applyAlignment="1">
      <alignment horizontal="center"/>
    </xf>
    <xf numFmtId="166" fontId="18" fillId="0" borderId="0" xfId="0" applyFont="1" applyAlignment="1" applyProtection="1">
      <alignment horizontal="left"/>
    </xf>
    <xf numFmtId="166" fontId="1" fillId="5" borderId="0" xfId="0" applyFont="1" applyFill="1"/>
    <xf numFmtId="166" fontId="18" fillId="5" borderId="2" xfId="0" applyFont="1" applyFill="1" applyBorder="1" applyAlignment="1" applyProtection="1">
      <alignment horizontal="center"/>
    </xf>
    <xf numFmtId="166" fontId="52" fillId="5" borderId="0" xfId="0" applyFont="1" applyFill="1" applyBorder="1" applyAlignment="1" applyProtection="1">
      <alignment horizontal="right"/>
    </xf>
    <xf numFmtId="166" fontId="10" fillId="5" borderId="14" xfId="0" applyFont="1" applyFill="1" applyBorder="1" applyProtection="1"/>
    <xf numFmtId="166" fontId="10" fillId="5" borderId="15" xfId="0" applyFont="1" applyFill="1" applyBorder="1" applyProtection="1"/>
    <xf numFmtId="166" fontId="18" fillId="5" borderId="2" xfId="0" applyFont="1" applyFill="1" applyBorder="1" applyAlignment="1" applyProtection="1">
      <alignment horizontal="right"/>
    </xf>
    <xf numFmtId="170" fontId="1" fillId="5" borderId="16" xfId="0" applyNumberFormat="1" applyFont="1" applyFill="1" applyBorder="1" applyProtection="1"/>
    <xf numFmtId="167" fontId="1" fillId="5" borderId="0" xfId="1" applyNumberFormat="1" applyFont="1" applyFill="1" applyBorder="1" applyProtection="1"/>
    <xf numFmtId="167" fontId="1" fillId="5" borderId="2" xfId="1" applyNumberFormat="1" applyFont="1" applyFill="1" applyBorder="1" applyProtection="1"/>
    <xf numFmtId="166" fontId="31" fillId="0" borderId="2" xfId="0" applyFont="1" applyBorder="1" applyAlignment="1" applyProtection="1">
      <alignment horizontal="center" wrapText="1"/>
    </xf>
    <xf numFmtId="169" fontId="2" fillId="5" borderId="0" xfId="0" applyNumberFormat="1" applyFont="1" applyFill="1" applyProtection="1"/>
    <xf numFmtId="169" fontId="2" fillId="5" borderId="0" xfId="0" applyNumberFormat="1" applyFont="1" applyFill="1" applyBorder="1" applyProtection="1"/>
    <xf numFmtId="169" fontId="2" fillId="5" borderId="2" xfId="0" applyNumberFormat="1" applyFont="1" applyFill="1" applyBorder="1" applyProtection="1"/>
    <xf numFmtId="166" fontId="0" fillId="5" borderId="0" xfId="0" applyFill="1" applyAlignment="1">
      <alignment wrapText="1"/>
    </xf>
    <xf numFmtId="166" fontId="31" fillId="5" borderId="2" xfId="0" applyFont="1" applyFill="1" applyBorder="1" applyAlignment="1" applyProtection="1">
      <alignment horizontal="center" wrapText="1"/>
    </xf>
    <xf numFmtId="166" fontId="53" fillId="0" borderId="0" xfId="0" applyFont="1" applyAlignment="1" applyProtection="1">
      <alignment horizontal="right"/>
    </xf>
    <xf numFmtId="166" fontId="20" fillId="5" borderId="1" xfId="0" applyFont="1" applyFill="1" applyBorder="1" applyAlignment="1">
      <alignment horizontal="center"/>
    </xf>
    <xf numFmtId="166" fontId="20" fillId="5" borderId="13" xfId="0" applyFont="1" applyFill="1" applyBorder="1" applyAlignment="1">
      <alignment horizontal="center"/>
    </xf>
    <xf numFmtId="166" fontId="17" fillId="0" borderId="0" xfId="35" applyFont="1" applyAlignment="1">
      <alignment horizontal="center"/>
    </xf>
    <xf numFmtId="167" fontId="1" fillId="5" borderId="0" xfId="35" applyNumberFormat="1" applyFont="1" applyFill="1" applyBorder="1" applyProtection="1">
      <protection hidden="1"/>
    </xf>
    <xf numFmtId="167" fontId="1" fillId="5" borderId="1" xfId="35" applyNumberFormat="1" applyFont="1" applyFill="1" applyBorder="1" applyProtection="1">
      <protection hidden="1"/>
    </xf>
    <xf numFmtId="167" fontId="1" fillId="5" borderId="2" xfId="35" applyNumberFormat="1" applyFont="1" applyFill="1" applyBorder="1" applyProtection="1">
      <protection hidden="1"/>
    </xf>
    <xf numFmtId="166" fontId="10" fillId="0" borderId="0" xfId="35" applyFont="1"/>
    <xf numFmtId="173" fontId="10" fillId="0" borderId="0" xfId="0" applyNumberFormat="1" applyFont="1"/>
    <xf numFmtId="0" fontId="1" fillId="0" borderId="0" xfId="0" applyNumberFormat="1" applyFont="1" applyAlignment="1">
      <alignment horizontal="center"/>
    </xf>
    <xf numFmtId="170" fontId="48" fillId="2" borderId="0" xfId="0" applyNumberFormat="1" applyFont="1" applyFill="1" applyAlignment="1" applyProtection="1">
      <alignment horizontal="center"/>
      <protection locked="0"/>
    </xf>
    <xf numFmtId="170" fontId="1" fillId="5" borderId="12" xfId="0" applyNumberFormat="1" applyFont="1" applyFill="1" applyBorder="1" applyProtection="1"/>
    <xf numFmtId="170" fontId="1" fillId="5" borderId="13" xfId="0" applyNumberFormat="1" applyFont="1" applyFill="1" applyBorder="1" applyProtection="1"/>
    <xf numFmtId="170" fontId="1" fillId="5" borderId="15" xfId="0" applyNumberFormat="1" applyFont="1" applyFill="1" applyBorder="1" applyProtection="1"/>
    <xf numFmtId="167" fontId="1" fillId="5" borderId="0" xfId="35" applyNumberFormat="1" applyFont="1" applyFill="1" applyBorder="1" applyProtection="1">
      <protection locked="0"/>
    </xf>
    <xf numFmtId="167" fontId="1" fillId="5" borderId="0" xfId="35" applyNumberFormat="1" applyFont="1" applyFill="1" applyBorder="1" applyProtection="1">
      <protection locked="0"/>
    </xf>
    <xf numFmtId="3" fontId="48" fillId="2" borderId="0" xfId="0" applyNumberFormat="1" applyFont="1" applyFill="1" applyAlignment="1" applyProtection="1">
      <alignment horizontal="right"/>
      <protection locked="0"/>
    </xf>
    <xf numFmtId="3" fontId="48" fillId="2" borderId="0" xfId="0" applyNumberFormat="1" applyFont="1" applyFill="1" applyProtection="1">
      <protection locked="0"/>
    </xf>
    <xf numFmtId="167" fontId="1" fillId="5" borderId="0" xfId="8" applyFont="1" applyFill="1" applyProtection="1"/>
    <xf numFmtId="2" fontId="1" fillId="5" borderId="2" xfId="8" applyNumberFormat="1" applyFont="1" applyFill="1" applyBorder="1" applyProtection="1"/>
    <xf numFmtId="3" fontId="1" fillId="5" borderId="2" xfId="0" applyNumberFormat="1" applyFont="1" applyFill="1" applyBorder="1" applyAlignment="1" applyProtection="1">
      <alignment horizontal="right"/>
    </xf>
    <xf numFmtId="166" fontId="31" fillId="0" borderId="0" xfId="0" applyFont="1" applyAlignment="1" applyProtection="1">
      <alignment horizontal="right"/>
    </xf>
    <xf numFmtId="166" fontId="12" fillId="0" borderId="0" xfId="0" applyFont="1" applyProtection="1"/>
    <xf numFmtId="166" fontId="17" fillId="0" borderId="0" xfId="0" applyFont="1" applyAlignment="1" applyProtection="1">
      <alignment horizontal="right"/>
    </xf>
    <xf numFmtId="2" fontId="1" fillId="0" borderId="0" xfId="1" applyNumberFormat="1" applyFont="1" applyFill="1" applyProtection="1"/>
    <xf numFmtId="164" fontId="2" fillId="0" borderId="0" xfId="1" applyFont="1" applyFill="1" applyProtection="1"/>
    <xf numFmtId="166" fontId="17" fillId="5" borderId="7" xfId="35" applyFont="1" applyFill="1" applyBorder="1" applyAlignment="1" applyProtection="1">
      <alignment horizontal="center"/>
      <protection hidden="1"/>
    </xf>
    <xf numFmtId="167" fontId="1" fillId="5" borderId="1" xfId="35" applyNumberFormat="1" applyFont="1" applyFill="1" applyBorder="1" applyProtection="1"/>
    <xf numFmtId="167" fontId="1" fillId="5" borderId="0" xfId="35" applyNumberFormat="1" applyFont="1" applyFill="1" applyBorder="1" applyProtection="1"/>
    <xf numFmtId="167" fontId="1" fillId="5" borderId="2" xfId="35" applyNumberFormat="1" applyFont="1" applyFill="1" applyBorder="1" applyProtection="1"/>
    <xf numFmtId="166" fontId="47" fillId="2" borderId="6" xfId="35" applyFont="1" applyFill="1" applyBorder="1" applyAlignment="1" applyProtection="1">
      <alignment horizontal="center"/>
      <protection locked="0"/>
    </xf>
    <xf numFmtId="166" fontId="58" fillId="2" borderId="6" xfId="0" applyFont="1" applyFill="1" applyBorder="1" applyAlignment="1" applyProtection="1">
      <alignment horizontal="center"/>
      <protection locked="0"/>
    </xf>
    <xf numFmtId="14" fontId="47" fillId="2" borderId="6" xfId="35" applyNumberFormat="1" applyFont="1" applyFill="1" applyBorder="1" applyAlignment="1" applyProtection="1">
      <alignment horizontal="center"/>
      <protection locked="0"/>
    </xf>
    <xf numFmtId="166" fontId="18" fillId="5" borderId="0" xfId="0" applyFont="1" applyFill="1" applyBorder="1" applyAlignment="1" applyProtection="1">
      <alignment horizontal="center" wrapText="1"/>
    </xf>
    <xf numFmtId="166" fontId="18" fillId="5" borderId="2" xfId="0" applyFont="1" applyFill="1" applyBorder="1" applyAlignment="1" applyProtection="1">
      <alignment horizontal="center"/>
    </xf>
    <xf numFmtId="166" fontId="9" fillId="0" borderId="0" xfId="35" applyFont="1"/>
    <xf numFmtId="166" fontId="9" fillId="0" borderId="0" xfId="35" applyFont="1" applyAlignment="1" applyProtection="1">
      <alignment horizontal="left"/>
    </xf>
    <xf numFmtId="166" fontId="59" fillId="5" borderId="0" xfId="0" applyFont="1" applyFill="1" applyBorder="1" applyAlignment="1" applyProtection="1">
      <alignment horizontal="right"/>
    </xf>
    <xf numFmtId="166" fontId="59" fillId="5" borderId="2" xfId="0" applyFont="1" applyFill="1" applyBorder="1" applyAlignment="1" applyProtection="1">
      <alignment horizontal="right"/>
    </xf>
    <xf numFmtId="0" fontId="9" fillId="4" borderId="19" xfId="9" applyFont="1" applyFill="1" applyBorder="1" applyAlignment="1">
      <alignment horizontal="center" wrapText="1"/>
    </xf>
    <xf numFmtId="166" fontId="60" fillId="2" borderId="6" xfId="0" applyFont="1" applyFill="1" applyBorder="1" applyAlignment="1" applyProtection="1">
      <alignment horizontal="center"/>
      <protection locked="0"/>
    </xf>
    <xf numFmtId="166" fontId="60" fillId="0" borderId="0" xfId="0" applyFont="1" applyFill="1" applyBorder="1" applyAlignment="1" applyProtection="1">
      <alignment horizontal="center"/>
      <protection locked="0"/>
    </xf>
    <xf numFmtId="166" fontId="18" fillId="5" borderId="2" xfId="0" applyFont="1" applyFill="1" applyBorder="1" applyAlignment="1" applyProtection="1">
      <alignment horizontal="center"/>
    </xf>
    <xf numFmtId="166" fontId="1" fillId="2" borderId="0" xfId="36" applyFont="1" applyFill="1" applyAlignment="1" applyProtection="1">
      <alignment horizontal="right"/>
    </xf>
    <xf numFmtId="166" fontId="10" fillId="0" borderId="0" xfId="0" applyFont="1" applyAlignment="1">
      <alignment horizontal="left"/>
    </xf>
    <xf numFmtId="166" fontId="62" fillId="0" borderId="0" xfId="0" applyFont="1" applyAlignment="1">
      <alignment wrapText="1"/>
    </xf>
    <xf numFmtId="166" fontId="10" fillId="0" borderId="20" xfId="0" applyFont="1" applyFill="1" applyBorder="1" applyAlignment="1">
      <alignment wrapText="1"/>
    </xf>
    <xf numFmtId="14" fontId="47" fillId="2" borderId="21" xfId="35" applyNumberFormat="1" applyFont="1" applyFill="1" applyBorder="1" applyAlignment="1" applyProtection="1">
      <alignment horizontal="center"/>
      <protection locked="0"/>
    </xf>
    <xf numFmtId="166" fontId="56" fillId="0" borderId="0" xfId="0" applyFont="1" applyAlignment="1" applyProtection="1">
      <alignment horizontal="right"/>
    </xf>
    <xf numFmtId="14" fontId="47" fillId="0" borderId="0" xfId="35" applyNumberFormat="1" applyFont="1" applyFill="1" applyBorder="1" applyAlignment="1" applyProtection="1">
      <alignment horizontal="center"/>
      <protection locked="0"/>
    </xf>
    <xf numFmtId="166" fontId="9" fillId="0" borderId="3" xfId="0" applyFont="1" applyBorder="1" applyAlignment="1">
      <alignment horizontal="center"/>
    </xf>
    <xf numFmtId="166" fontId="9" fillId="0" borderId="4" xfId="0" applyFont="1" applyBorder="1" applyAlignment="1">
      <alignment horizontal="center"/>
    </xf>
    <xf numFmtId="166" fontId="61" fillId="0" borderId="0" xfId="5" applyNumberFormat="1" applyFont="1" applyFill="1" applyBorder="1" applyAlignment="1" applyProtection="1">
      <alignment horizontal="left" wrapText="1"/>
      <protection locked="0"/>
    </xf>
    <xf numFmtId="166" fontId="18" fillId="5" borderId="1" xfId="0" applyFont="1" applyFill="1" applyBorder="1" applyAlignment="1" applyProtection="1">
      <alignment horizontal="center" wrapText="1"/>
    </xf>
    <xf numFmtId="166" fontId="0" fillId="0" borderId="0" xfId="0" applyAlignment="1" applyProtection="1">
      <alignment wrapText="1"/>
    </xf>
    <xf numFmtId="166" fontId="18" fillId="5" borderId="17" xfId="0" applyFont="1" applyFill="1" applyBorder="1" applyAlignment="1" applyProtection="1">
      <alignment horizontal="center"/>
    </xf>
    <xf numFmtId="166" fontId="0" fillId="0" borderId="7" xfId="0" applyBorder="1" applyAlignment="1">
      <alignment horizontal="center"/>
    </xf>
    <xf numFmtId="166" fontId="0" fillId="0" borderId="18" xfId="0" applyBorder="1" applyAlignment="1">
      <alignment horizontal="center"/>
    </xf>
    <xf numFmtId="167" fontId="18" fillId="5" borderId="0" xfId="0" applyNumberFormat="1" applyFont="1" applyFill="1" applyBorder="1" applyAlignment="1" applyProtection="1">
      <alignment horizontal="center"/>
    </xf>
    <xf numFmtId="166" fontId="45" fillId="0" borderId="2" xfId="0" applyFont="1" applyBorder="1" applyAlignment="1"/>
    <xf numFmtId="166" fontId="18" fillId="5" borderId="0" xfId="0" applyFont="1" applyFill="1" applyBorder="1" applyAlignment="1" applyProtection="1">
      <alignment horizontal="center" wrapText="1"/>
    </xf>
    <xf numFmtId="166" fontId="0" fillId="0" borderId="2" xfId="0" applyBorder="1" applyAlignment="1" applyProtection="1">
      <alignment horizontal="center" wrapText="1"/>
    </xf>
    <xf numFmtId="166" fontId="18" fillId="5" borderId="2" xfId="0" applyFont="1" applyFill="1" applyBorder="1" applyAlignment="1" applyProtection="1">
      <alignment horizontal="center"/>
    </xf>
    <xf numFmtId="166" fontId="1" fillId="5" borderId="2" xfId="0" applyFont="1" applyFill="1" applyBorder="1" applyAlignment="1" applyProtection="1">
      <alignment horizontal="center"/>
    </xf>
    <xf numFmtId="166" fontId="0" fillId="0" borderId="0" xfId="0" applyAlignment="1">
      <alignment wrapText="1"/>
    </xf>
    <xf numFmtId="166" fontId="0" fillId="0" borderId="2" xfId="0" applyBorder="1" applyAlignment="1">
      <alignment wrapText="1"/>
    </xf>
    <xf numFmtId="166" fontId="18" fillId="5" borderId="1" xfId="0" applyFont="1" applyFill="1" applyBorder="1" applyAlignment="1">
      <alignment horizontal="center" wrapText="1"/>
    </xf>
    <xf numFmtId="166" fontId="0" fillId="0" borderId="2" xfId="0" applyBorder="1" applyAlignment="1">
      <alignment horizontal="center" wrapText="1"/>
    </xf>
    <xf numFmtId="0" fontId="18" fillId="5" borderId="1" xfId="0" applyNumberFormat="1" applyFont="1" applyFill="1" applyBorder="1" applyAlignment="1">
      <alignment horizontal="center" wrapText="1"/>
    </xf>
    <xf numFmtId="0" fontId="0" fillId="0" borderId="2" xfId="0" applyNumberFormat="1" applyBorder="1" applyAlignment="1">
      <alignment horizontal="center" wrapText="1"/>
    </xf>
  </cellXfs>
  <cellStyles count="37">
    <cellStyle name="Comma" xfId="1" builtinId="3"/>
    <cellStyle name="Comma 3" xfId="10"/>
    <cellStyle name="Hyperlink" xfId="5" builtinId="8"/>
    <cellStyle name="Normal" xfId="0" builtinId="0"/>
    <cellStyle name="Normal 2" xfId="2"/>
    <cellStyle name="Normal 2 10" xfId="31"/>
    <cellStyle name="Normal 2 11" xfId="34"/>
    <cellStyle name="Normal 2 2" xfId="3"/>
    <cellStyle name="Normal 2 3" xfId="6"/>
    <cellStyle name="Normal 2 4" xfId="13"/>
    <cellStyle name="Normal 2 5" xfId="17"/>
    <cellStyle name="Normal 2 6" xfId="21"/>
    <cellStyle name="Normal 2 7" xfId="24"/>
    <cellStyle name="Normal 2 8" xfId="14"/>
    <cellStyle name="Normal 2 9" xfId="25"/>
    <cellStyle name="Normal 3" xfId="35"/>
    <cellStyle name="Normal 3 2" xfId="4"/>
    <cellStyle name="Normal 3 2 10" xfId="32"/>
    <cellStyle name="Normal 3 2 2" xfId="9"/>
    <cellStyle name="Normal 3 2 3" xfId="15"/>
    <cellStyle name="Normal 3 2 4" xfId="11"/>
    <cellStyle name="Normal 3 2 5" xfId="19"/>
    <cellStyle name="Normal 3 2 6" xfId="22"/>
    <cellStyle name="Normal 3 2 7" xfId="16"/>
    <cellStyle name="Normal 3 2 8" xfId="27"/>
    <cellStyle name="Normal 3 2 9" xfId="29"/>
    <cellStyle name="Normal 3 3" xfId="7"/>
    <cellStyle name="Normal 3 3 2" xfId="18"/>
    <cellStyle name="Normal 3 3 3" xfId="12"/>
    <cellStyle name="Normal 3 3 4" xfId="20"/>
    <cellStyle name="Normal 3 3 5" xfId="23"/>
    <cellStyle name="Normal 3 3 6" xfId="28"/>
    <cellStyle name="Normal 3 3 7" xfId="26"/>
    <cellStyle name="Normal 3 3 8" xfId="30"/>
    <cellStyle name="Normal 3 3 9" xfId="33"/>
    <cellStyle name="Normal 4" xfId="8"/>
    <cellStyle name="Normal 5" xfId="3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6600"/>
      <color rgb="FFC6EFCE"/>
      <color rgb="FFC038C0"/>
      <color rgb="FFC034C0"/>
      <color rgb="FFCC00CC"/>
      <color rgb="FF9900FF"/>
      <color rgb="FFD7E6E6"/>
      <color rgb="FFFFEB9B"/>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0218722659669"/>
          <c:y val="2.8252405949256338E-2"/>
          <c:w val="0.85185892388451523"/>
          <c:h val="0.79822506561679785"/>
        </c:manualLayout>
      </c:layout>
      <c:scatterChart>
        <c:scatterStyle val="lineMarker"/>
        <c:varyColors val="0"/>
        <c:ser>
          <c:idx val="0"/>
          <c:order val="0"/>
          <c:spPr>
            <a:ln w="28575">
              <a:noFill/>
            </a:ln>
          </c:spPr>
          <c:xVal>
            <c:numRef>
              <c:f>Modèles!$E$31:$E$36</c:f>
              <c:numCache>
                <c:formatCode>0.0000_)</c:formatCode>
                <c:ptCount val="6"/>
                <c:pt idx="0">
                  <c:v>-1.5633868619875475</c:v>
                </c:pt>
                <c:pt idx="1">
                  <c:v>-1.1015730814914695</c:v>
                </c:pt>
                <c:pt idx="2">
                  <c:v>-0.76601876812841596</c:v>
                </c:pt>
                <c:pt idx="3">
                  <c:v>-0.46541809785791788</c:v>
                </c:pt>
                <c:pt idx="4">
                  <c:v>-0.16682751438817933</c:v>
                </c:pt>
                <c:pt idx="5">
                  <c:v>0.15023176934794785</c:v>
                </c:pt>
              </c:numCache>
            </c:numRef>
          </c:xVal>
          <c:yVal>
            <c:numRef>
              <c:f>'Orphelins de mère'!$K$36:$K$41</c:f>
              <c:numCache>
                <c:formatCode>0.000_)</c:formatCode>
                <c:ptCount val="6"/>
                <c:pt idx="0">
                  <c:v>-1.6868355352705149</c:v>
                </c:pt>
                <c:pt idx="1">
                  <c:v>-1.2897902736937825</c:v>
                </c:pt>
                <c:pt idx="2">
                  <c:v>-0.97049810629198663</c:v>
                </c:pt>
                <c:pt idx="3">
                  <c:v>-0.77179124441757196</c:v>
                </c:pt>
                <c:pt idx="4">
                  <c:v>-0.47295241028726803</c:v>
                </c:pt>
                <c:pt idx="5">
                  <c:v>-0.27242945198965257</c:v>
                </c:pt>
              </c:numCache>
            </c:numRef>
          </c:yVal>
          <c:smooth val="0"/>
        </c:ser>
        <c:ser>
          <c:idx val="1"/>
          <c:order val="1"/>
          <c:spPr>
            <a:ln w="12700">
              <a:solidFill>
                <a:schemeClr val="accent1"/>
              </a:solidFill>
            </a:ln>
          </c:spPr>
          <c:marker>
            <c:symbol val="none"/>
          </c:marker>
          <c:xVal>
            <c:numRef>
              <c:f>'Orphelins de mère'!$T$32:$T$33</c:f>
              <c:numCache>
                <c:formatCode>0.000_)</c:formatCode>
                <c:ptCount val="2"/>
                <c:pt idx="0">
                  <c:v>-1.5633868619875475</c:v>
                </c:pt>
                <c:pt idx="1">
                  <c:v>0.15023176934794785</c:v>
                </c:pt>
              </c:numCache>
            </c:numRef>
          </c:xVal>
          <c:yVal>
            <c:numRef>
              <c:f>'Orphelins de mère'!$U$32:$U$33</c:f>
              <c:numCache>
                <c:formatCode>0.000_)</c:formatCode>
                <c:ptCount val="2"/>
                <c:pt idx="0">
                  <c:v>-1.6837658712013206</c:v>
                </c:pt>
                <c:pt idx="1">
                  <c:v>-0.21061481273509322</c:v>
                </c:pt>
              </c:numCache>
            </c:numRef>
          </c:yVal>
          <c:smooth val="0"/>
        </c:ser>
        <c:dLbls>
          <c:showLegendKey val="0"/>
          <c:showVal val="0"/>
          <c:showCatName val="0"/>
          <c:showSerName val="0"/>
          <c:showPercent val="0"/>
          <c:showBubbleSize val="0"/>
        </c:dLbls>
        <c:axId val="96314112"/>
        <c:axId val="96325632"/>
      </c:scatterChart>
      <c:valAx>
        <c:axId val="96314112"/>
        <c:scaling>
          <c:orientation val="minMax"/>
        </c:scaling>
        <c:delete val="0"/>
        <c:axPos val="b"/>
        <c:numFmt formatCode="#,##0.0" sourceLinked="0"/>
        <c:majorTickMark val="cross"/>
        <c:minorTickMark val="none"/>
        <c:tickLblPos val="low"/>
        <c:crossAx val="96325632"/>
        <c:crosses val="autoZero"/>
        <c:crossBetween val="midCat"/>
      </c:valAx>
      <c:valAx>
        <c:axId val="96325632"/>
        <c:scaling>
          <c:orientation val="minMax"/>
        </c:scaling>
        <c:delete val="0"/>
        <c:axPos val="l"/>
        <c:numFmt formatCode="#,##0.0" sourceLinked="0"/>
        <c:majorTickMark val="cross"/>
        <c:minorTickMark val="none"/>
        <c:tickLblPos val="low"/>
        <c:crossAx val="96314112"/>
        <c:crosses val="autoZero"/>
        <c:crossBetween val="midCat"/>
        <c:majorUnit val="0.5"/>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xVal>
            <c:numRef>
              <c:f>Modèles!$D$33:$D$36</c:f>
              <c:numCache>
                <c:formatCode>0.0000_)</c:formatCode>
                <c:ptCount val="4"/>
                <c:pt idx="0">
                  <c:v>-1.1762449336785945</c:v>
                </c:pt>
                <c:pt idx="1">
                  <c:v>-0.68218265457568761</c:v>
                </c:pt>
                <c:pt idx="2">
                  <c:v>-0.30294990498899921</c:v>
                </c:pt>
                <c:pt idx="3">
                  <c:v>5.5182643976472066E-2</c:v>
                </c:pt>
              </c:numCache>
            </c:numRef>
          </c:xVal>
          <c:yVal>
            <c:numRef>
              <c:f>'Orphelins de père'!$K$34:$K$37</c:f>
              <c:numCache>
                <c:formatCode>0.000_)</c:formatCode>
                <c:ptCount val="4"/>
                <c:pt idx="0">
                  <c:v>-1.1280797244318896</c:v>
                </c:pt>
                <c:pt idx="1">
                  <c:v>-0.6376249411429068</c:v>
                </c:pt>
                <c:pt idx="2">
                  <c:v>-0.28657928721652109</c:v>
                </c:pt>
                <c:pt idx="3">
                  <c:v>2.8050963600484761E-2</c:v>
                </c:pt>
              </c:numCache>
            </c:numRef>
          </c:yVal>
          <c:smooth val="0"/>
        </c:ser>
        <c:ser>
          <c:idx val="1"/>
          <c:order val="1"/>
          <c:spPr>
            <a:ln w="12700">
              <a:solidFill>
                <a:srgbClr val="4F81BD"/>
              </a:solidFill>
            </a:ln>
          </c:spPr>
          <c:marker>
            <c:symbol val="none"/>
          </c:marker>
          <c:xVal>
            <c:numRef>
              <c:f>'Orphelins de père'!$T$29:$T$30</c:f>
              <c:numCache>
                <c:formatCode>0.000_)</c:formatCode>
                <c:ptCount val="2"/>
                <c:pt idx="0">
                  <c:v>-1.1762449336785945</c:v>
                </c:pt>
                <c:pt idx="1">
                  <c:v>5.5182643976472066E-2</c:v>
                </c:pt>
              </c:numCache>
            </c:numRef>
          </c:xVal>
          <c:yVal>
            <c:numRef>
              <c:f>'Orphelins de père'!$U$29:$U$30</c:f>
              <c:numCache>
                <c:formatCode>0.000_)</c:formatCode>
                <c:ptCount val="2"/>
                <c:pt idx="0">
                  <c:v>-1.1239404826020771</c:v>
                </c:pt>
                <c:pt idx="1">
                  <c:v>6.4421075749159853E-2</c:v>
                </c:pt>
              </c:numCache>
            </c:numRef>
          </c:yVal>
          <c:smooth val="0"/>
        </c:ser>
        <c:dLbls>
          <c:showLegendKey val="0"/>
          <c:showVal val="0"/>
          <c:showCatName val="0"/>
          <c:showSerName val="0"/>
          <c:showPercent val="0"/>
          <c:showBubbleSize val="0"/>
        </c:dLbls>
        <c:axId val="94709632"/>
        <c:axId val="94711168"/>
      </c:scatterChart>
      <c:valAx>
        <c:axId val="94709632"/>
        <c:scaling>
          <c:orientation val="minMax"/>
        </c:scaling>
        <c:delete val="0"/>
        <c:axPos val="b"/>
        <c:numFmt formatCode="#,##0.0" sourceLinked="0"/>
        <c:majorTickMark val="cross"/>
        <c:minorTickMark val="none"/>
        <c:tickLblPos val="low"/>
        <c:crossAx val="94711168"/>
        <c:crosses val="autoZero"/>
        <c:crossBetween val="midCat"/>
      </c:valAx>
      <c:valAx>
        <c:axId val="94711168"/>
        <c:scaling>
          <c:orientation val="minMax"/>
        </c:scaling>
        <c:delete val="0"/>
        <c:axPos val="l"/>
        <c:numFmt formatCode="#,##0.0" sourceLinked="0"/>
        <c:majorTickMark val="cross"/>
        <c:minorTickMark val="none"/>
        <c:tickLblPos val="low"/>
        <c:crossAx val="94709632"/>
        <c:crosses val="autoZero"/>
        <c:crossBetween val="midCat"/>
        <c:majorUnit val="0.5"/>
      </c:valAx>
    </c:plotArea>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601400180668478E-2"/>
          <c:y val="5.1219078857455254E-2"/>
          <c:w val="0.89174488790342465"/>
          <c:h val="0.77329452991453063"/>
        </c:manualLayout>
      </c:layout>
      <c:scatterChart>
        <c:scatterStyle val="lineMarker"/>
        <c:varyColors val="0"/>
        <c:ser>
          <c:idx val="1"/>
          <c:order val="0"/>
          <c:tx>
            <c:strRef>
              <c:f>'Orphelins de père'!$H$1</c:f>
              <c:strCache>
                <c:ptCount val="1"/>
                <c:pt idx="0">
                  <c:v>Hommes 1999</c:v>
                </c:pt>
              </c:strCache>
            </c:strRef>
          </c:tx>
          <c:spPr>
            <a:ln>
              <a:solidFill>
                <a:srgbClr val="0070C0"/>
              </a:solidFill>
              <a:prstDash val="solid"/>
            </a:ln>
          </c:spPr>
          <c:marker>
            <c:symbol val="none"/>
          </c:marker>
          <c:xVal>
            <c:numRef>
              <c:f>'Orphelins de père'!$K$6:$K$11</c:f>
              <c:numCache>
                <c:formatCode>0.0_)</c:formatCode>
                <c:ptCount val="6"/>
                <c:pt idx="0">
                  <c:v>1994.5391330915063</c:v>
                </c:pt>
                <c:pt idx="1">
                  <c:v>1992.4219666379479</c:v>
                </c:pt>
                <c:pt idx="2">
                  <c:v>1990.485180956078</c:v>
                </c:pt>
                <c:pt idx="3">
                  <c:v>1988.7893881622977</c:v>
                </c:pt>
                <c:pt idx="4">
                  <c:v>1987.3824130285882</c:v>
                </c:pt>
                <c:pt idx="5">
                  <c:v>1986.548259169733</c:v>
                </c:pt>
              </c:numCache>
            </c:numRef>
          </c:xVal>
          <c:yVal>
            <c:numRef>
              <c:f>'Orphelins de père'!$J$6:$J$11</c:f>
              <c:numCache>
                <c:formatCode>0.000_)</c:formatCode>
                <c:ptCount val="6"/>
                <c:pt idx="0">
                  <c:v>0.313020542405539</c:v>
                </c:pt>
                <c:pt idx="1">
                  <c:v>0.30749117088980216</c:v>
                </c:pt>
                <c:pt idx="2">
                  <c:v>0.27104261724721257</c:v>
                </c:pt>
                <c:pt idx="3">
                  <c:v>0.25016918081414652</c:v>
                </c:pt>
                <c:pt idx="4">
                  <c:v>0.24378642137253459</c:v>
                </c:pt>
                <c:pt idx="5">
                  <c:v>0.22532656834196474</c:v>
                </c:pt>
              </c:numCache>
            </c:numRef>
          </c:yVal>
          <c:smooth val="0"/>
        </c:ser>
        <c:ser>
          <c:idx val="5"/>
          <c:order val="1"/>
          <c:tx>
            <c:strRef>
              <c:f>'Orphelins de père'!$H$15</c:f>
              <c:strCache>
                <c:ptCount val="1"/>
                <c:pt idx="0">
                  <c:v>Hommes 1989</c:v>
                </c:pt>
              </c:strCache>
            </c:strRef>
          </c:tx>
          <c:spPr>
            <a:ln>
              <a:solidFill>
                <a:srgbClr val="0070C0"/>
              </a:solidFill>
              <a:prstDash val="sysDash"/>
            </a:ln>
          </c:spPr>
          <c:marker>
            <c:symbol val="none"/>
          </c:marker>
          <c:xVal>
            <c:numRef>
              <c:f>'Orphelins de père'!$K$20:$K$25</c:f>
              <c:numCache>
                <c:formatCode>0.0_)</c:formatCode>
                <c:ptCount val="6"/>
                <c:pt idx="0">
                  <c:v>1984.7679876006887</c:v>
                </c:pt>
                <c:pt idx="1">
                  <c:v>1982.6849764777646</c:v>
                </c:pt>
                <c:pt idx="2">
                  <c:v>1980.7691641736922</c:v>
                </c:pt>
                <c:pt idx="3">
                  <c:v>1979.0496386445379</c:v>
                </c:pt>
                <c:pt idx="4">
                  <c:v>1977.5807870710366</c:v>
                </c:pt>
                <c:pt idx="5">
                  <c:v>1976.5843762204918</c:v>
                </c:pt>
              </c:numCache>
            </c:numRef>
          </c:xVal>
          <c:yVal>
            <c:numRef>
              <c:f>'Orphelins de père'!$J$20:$J$25</c:f>
              <c:numCache>
                <c:formatCode>0.000_)</c:formatCode>
                <c:ptCount val="6"/>
                <c:pt idx="0">
                  <c:v>0.22217007183315429</c:v>
                </c:pt>
                <c:pt idx="1">
                  <c:v>0.22557548628065738</c:v>
                </c:pt>
                <c:pt idx="2">
                  <c:v>0.23021211281964959</c:v>
                </c:pt>
                <c:pt idx="3">
                  <c:v>0.23777146992139586</c:v>
                </c:pt>
                <c:pt idx="4">
                  <c:v>0.24256752921655578</c:v>
                </c:pt>
                <c:pt idx="5">
                  <c:v>0.23978141208531834</c:v>
                </c:pt>
              </c:numCache>
            </c:numRef>
          </c:yVal>
          <c:smooth val="0"/>
        </c:ser>
        <c:ser>
          <c:idx val="0"/>
          <c:order val="2"/>
          <c:tx>
            <c:strRef>
              <c:f>'Orphelins de père'!$H$29</c:f>
              <c:strCache>
                <c:ptCount val="1"/>
                <c:pt idx="0">
                  <c:v>Hommes - cohortes synthétiques</c:v>
                </c:pt>
              </c:strCache>
            </c:strRef>
          </c:tx>
          <c:spPr>
            <a:ln>
              <a:noFill/>
            </a:ln>
          </c:spPr>
          <c:marker>
            <c:symbol val="square"/>
            <c:size val="6"/>
            <c:spPr>
              <a:solidFill>
                <a:srgbClr val="0070C0"/>
              </a:solidFill>
            </c:spPr>
          </c:marker>
          <c:xVal>
            <c:numRef>
              <c:f>'Orphelins de père'!$M$29</c:f>
              <c:numCache>
                <c:formatCode>0.00_)</c:formatCode>
                <c:ptCount val="1"/>
                <c:pt idx="0">
                  <c:v>1994.7227116797208</c:v>
                </c:pt>
              </c:numCache>
            </c:numRef>
          </c:xVal>
          <c:yVal>
            <c:numRef>
              <c:f>'Orphelins de père'!$M$39</c:f>
              <c:numCache>
                <c:formatCode>0.000_)</c:formatCode>
                <c:ptCount val="1"/>
                <c:pt idx="0">
                  <c:v>0.25281960160452688</c:v>
                </c:pt>
              </c:numCache>
            </c:numRef>
          </c:yVal>
          <c:smooth val="0"/>
        </c:ser>
        <c:ser>
          <c:idx val="3"/>
          <c:order val="3"/>
          <c:tx>
            <c:strRef>
              <c:f>'Orphelins de mère'!$H$1</c:f>
              <c:strCache>
                <c:ptCount val="1"/>
                <c:pt idx="0">
                  <c:v>Femmes 1999</c:v>
                </c:pt>
              </c:strCache>
            </c:strRef>
          </c:tx>
          <c:spPr>
            <a:ln>
              <a:solidFill>
                <a:srgbClr val="C037C0"/>
              </a:solidFill>
            </a:ln>
          </c:spPr>
          <c:marker>
            <c:symbol val="none"/>
          </c:marker>
          <c:xVal>
            <c:numRef>
              <c:f>'Orphelins de mère'!$K$6:$K$12</c:f>
              <c:numCache>
                <c:formatCode>0.0_)</c:formatCode>
                <c:ptCount val="7"/>
                <c:pt idx="0">
                  <c:v>1996.0496992155652</c:v>
                </c:pt>
                <c:pt idx="1">
                  <c:v>1993.8575152731441</c:v>
                </c:pt>
                <c:pt idx="2">
                  <c:v>1991.8555174802964</c:v>
                </c:pt>
                <c:pt idx="3">
                  <c:v>1990.0910719402166</c:v>
                </c:pt>
                <c:pt idx="4">
                  <c:v>1988.6229215950241</c:v>
                </c:pt>
                <c:pt idx="5">
                  <c:v>1987.4528179565168</c:v>
                </c:pt>
                <c:pt idx="6">
                  <c:v>1986.8665306176206</c:v>
                </c:pt>
              </c:numCache>
            </c:numRef>
          </c:xVal>
          <c:yVal>
            <c:numRef>
              <c:f>'Orphelins de mère'!$J$6:$J$12</c:f>
              <c:numCache>
                <c:formatCode>0.000_)</c:formatCode>
                <c:ptCount val="7"/>
                <c:pt idx="0">
                  <c:v>0.23295625894693361</c:v>
                </c:pt>
                <c:pt idx="1">
                  <c:v>0.20883865234638599</c:v>
                </c:pt>
                <c:pt idx="2">
                  <c:v>0.19678575409439114</c:v>
                </c:pt>
                <c:pt idx="3">
                  <c:v>0.1810424805305566</c:v>
                </c:pt>
                <c:pt idx="4">
                  <c:v>0.16238661614346872</c:v>
                </c:pt>
                <c:pt idx="5">
                  <c:v>0.15645250506571151</c:v>
                </c:pt>
                <c:pt idx="6">
                  <c:v>0.13701487226329279</c:v>
                </c:pt>
              </c:numCache>
            </c:numRef>
          </c:yVal>
          <c:smooth val="0"/>
        </c:ser>
        <c:ser>
          <c:idx val="2"/>
          <c:order val="4"/>
          <c:tx>
            <c:strRef>
              <c:f>'Orphelins de mère'!$H$16</c:f>
              <c:strCache>
                <c:ptCount val="1"/>
                <c:pt idx="0">
                  <c:v>Femmes 1989</c:v>
                </c:pt>
              </c:strCache>
            </c:strRef>
          </c:tx>
          <c:spPr>
            <a:ln>
              <a:solidFill>
                <a:srgbClr val="C038C0"/>
              </a:solidFill>
              <a:prstDash val="sysDash"/>
            </a:ln>
          </c:spPr>
          <c:marker>
            <c:symbol val="none"/>
          </c:marker>
          <c:xVal>
            <c:numRef>
              <c:f>'Orphelins de mère'!$K$21:$K$27</c:f>
              <c:numCache>
                <c:formatCode>0.0_)</c:formatCode>
                <c:ptCount val="7"/>
                <c:pt idx="0">
                  <c:v>1986.2366048066528</c:v>
                </c:pt>
                <c:pt idx="1">
                  <c:v>1984.0715438475954</c:v>
                </c:pt>
                <c:pt idx="2">
                  <c:v>1982.0936069789054</c:v>
                </c:pt>
                <c:pt idx="3">
                  <c:v>1980.3237136418661</c:v>
                </c:pt>
                <c:pt idx="4">
                  <c:v>1978.8280480322412</c:v>
                </c:pt>
                <c:pt idx="5">
                  <c:v>1977.6128678676951</c:v>
                </c:pt>
                <c:pt idx="6">
                  <c:v>1976.9233652506907</c:v>
                </c:pt>
              </c:numCache>
            </c:numRef>
          </c:xVal>
          <c:yVal>
            <c:numRef>
              <c:f>'Orphelins de mère'!$J$21:$J$27</c:f>
              <c:numCache>
                <c:formatCode>0.000_)</c:formatCode>
                <c:ptCount val="7"/>
                <c:pt idx="0">
                  <c:v>0.13111113512423922</c:v>
                </c:pt>
                <c:pt idx="1">
                  <c:v>0.12195893921697276</c:v>
                </c:pt>
                <c:pt idx="2">
                  <c:v>0.13748218190456118</c:v>
                </c:pt>
                <c:pt idx="3">
                  <c:v>0.15284700970146126</c:v>
                </c:pt>
                <c:pt idx="4">
                  <c:v>0.15340053005167575</c:v>
                </c:pt>
                <c:pt idx="5">
                  <c:v>0.15792641207296354</c:v>
                </c:pt>
                <c:pt idx="6">
                  <c:v>0.14752218119947447</c:v>
                </c:pt>
              </c:numCache>
            </c:numRef>
          </c:yVal>
          <c:smooth val="0"/>
        </c:ser>
        <c:ser>
          <c:idx val="4"/>
          <c:order val="5"/>
          <c:tx>
            <c:strRef>
              <c:f>'Orphelins de mère'!$H$31</c:f>
              <c:strCache>
                <c:ptCount val="1"/>
                <c:pt idx="0">
                  <c:v>Femmes - cohortes synthétiques</c:v>
                </c:pt>
              </c:strCache>
            </c:strRef>
          </c:tx>
          <c:spPr>
            <a:ln>
              <a:noFill/>
            </a:ln>
          </c:spPr>
          <c:marker>
            <c:symbol val="diamond"/>
            <c:size val="8"/>
            <c:spPr>
              <a:solidFill>
                <a:srgbClr val="C037C0"/>
              </a:solidFill>
              <a:ln>
                <a:solidFill>
                  <a:srgbClr val="C037C0"/>
                </a:solidFill>
              </a:ln>
            </c:spPr>
          </c:marker>
          <c:xVal>
            <c:numRef>
              <c:f>'Orphelins de mère'!$M$31</c:f>
              <c:numCache>
                <c:formatCode>0.00_)</c:formatCode>
                <c:ptCount val="1"/>
                <c:pt idx="0">
                  <c:v>1994.7227116797208</c:v>
                </c:pt>
              </c:numCache>
            </c:numRef>
          </c:xVal>
          <c:yVal>
            <c:numRef>
              <c:f>'Orphelins de mère'!$M$42</c:f>
              <c:numCache>
                <c:formatCode>0.000_)</c:formatCode>
                <c:ptCount val="1"/>
                <c:pt idx="0">
                  <c:v>0.16209456574614997</c:v>
                </c:pt>
              </c:numCache>
            </c:numRef>
          </c:yVal>
          <c:smooth val="0"/>
        </c:ser>
        <c:dLbls>
          <c:showLegendKey val="0"/>
          <c:showVal val="0"/>
          <c:showCatName val="0"/>
          <c:showSerName val="0"/>
          <c:showPercent val="0"/>
          <c:showBubbleSize val="0"/>
        </c:dLbls>
        <c:axId val="94784128"/>
        <c:axId val="94786688"/>
      </c:scatterChart>
      <c:valAx>
        <c:axId val="94784128"/>
        <c:scaling>
          <c:orientation val="minMax"/>
        </c:scaling>
        <c:delete val="0"/>
        <c:axPos val="b"/>
        <c:title>
          <c:tx>
            <c:rich>
              <a:bodyPr/>
              <a:lstStyle/>
              <a:p>
                <a:pPr>
                  <a:defRPr/>
                </a:pPr>
                <a:r>
                  <a:rPr lang="en-GB"/>
                  <a:t>Année</a:t>
                </a:r>
              </a:p>
            </c:rich>
          </c:tx>
          <c:layout>
            <c:manualLayout>
              <c:xMode val="edge"/>
              <c:yMode val="edge"/>
              <c:x val="0.49723873097904303"/>
              <c:y val="0.88127846153846168"/>
            </c:manualLayout>
          </c:layout>
          <c:overlay val="0"/>
        </c:title>
        <c:numFmt formatCode="0" sourceLinked="0"/>
        <c:majorTickMark val="out"/>
        <c:minorTickMark val="none"/>
        <c:tickLblPos val="low"/>
        <c:spPr>
          <a:ln>
            <a:solidFill>
              <a:schemeClr val="tx1">
                <a:lumMod val="65000"/>
                <a:lumOff val="35000"/>
              </a:schemeClr>
            </a:solidFill>
          </a:ln>
        </c:spPr>
        <c:crossAx val="94786688"/>
        <c:crossesAt val="-1"/>
        <c:crossBetween val="midCat"/>
      </c:valAx>
      <c:valAx>
        <c:axId val="94786688"/>
        <c:scaling>
          <c:orientation val="minMax"/>
        </c:scaling>
        <c:delete val="0"/>
        <c:axPos val="l"/>
        <c:majorGridlines>
          <c:spPr>
            <a:ln>
              <a:solidFill>
                <a:schemeClr val="bg1">
                  <a:lumMod val="75000"/>
                </a:schemeClr>
              </a:solidFill>
            </a:ln>
          </c:spPr>
        </c:majorGridlines>
        <c:title>
          <c:tx>
            <c:strRef>
              <c:f>Introduction!$D$12</c:f>
              <c:strCache>
                <c:ptCount val="1"/>
                <c:pt idx="0">
                  <c:v>30q30</c:v>
                </c:pt>
              </c:strCache>
            </c:strRef>
          </c:tx>
          <c:layout>
            <c:manualLayout>
              <c:xMode val="edge"/>
              <c:yMode val="edge"/>
              <c:x val="7.3277347114556416E-3"/>
              <c:y val="0.39404170940170941"/>
            </c:manualLayout>
          </c:layout>
          <c:overlay val="0"/>
          <c:txPr>
            <a:bodyPr rot="-5400000" vert="horz" anchor="ctr" anchorCtr="0"/>
            <a:lstStyle/>
            <a:p>
              <a:pPr algn="l">
                <a:defRPr i="1" baseline="0"/>
              </a:pPr>
              <a:endParaRPr lang="en-US"/>
            </a:p>
          </c:txPr>
        </c:title>
        <c:numFmt formatCode="#,##0.0" sourceLinked="0"/>
        <c:majorTickMark val="out"/>
        <c:minorTickMark val="none"/>
        <c:tickLblPos val="nextTo"/>
        <c:spPr>
          <a:ln>
            <a:solidFill>
              <a:schemeClr val="tx1">
                <a:lumMod val="65000"/>
                <a:lumOff val="35000"/>
              </a:schemeClr>
            </a:solidFill>
          </a:ln>
        </c:spPr>
        <c:crossAx val="94784128"/>
        <c:crosses val="autoZero"/>
        <c:crossBetween val="midCat"/>
        <c:majorUnit val="0.1"/>
      </c:valAx>
      <c:spPr>
        <a:solidFill>
          <a:schemeClr val="bg1"/>
        </a:solidFill>
        <a:ln w="6350"/>
      </c:spPr>
    </c:plotArea>
    <c:legend>
      <c:legendPos val="b"/>
      <c:layout>
        <c:manualLayout>
          <c:xMode val="edge"/>
          <c:yMode val="edge"/>
          <c:x val="6.3802756244616704E-2"/>
          <c:y val="0.92371839551728852"/>
          <c:w val="0.92330769861777617"/>
          <c:h val="7.6281604482711499E-2"/>
        </c:manualLayout>
      </c:layout>
      <c:overlay val="0"/>
    </c:legend>
    <c:plotVisOnly val="1"/>
    <c:dispBlanksAs val="gap"/>
    <c:showDLblsOverMax val="0"/>
  </c:chart>
  <c:spPr>
    <a:solidFill>
      <a:srgbClr val="D7E6E6"/>
    </a:solidFill>
    <a:ln>
      <a:noFill/>
    </a:ln>
  </c:spPr>
  <c:txPr>
    <a:bodyPr/>
    <a:lstStyle/>
    <a:p>
      <a:pPr>
        <a:defRPr sz="1200">
          <a:latin typeface="Verdana" pitchFamily="34" charset="0"/>
        </a:defRPr>
      </a:pPr>
      <a:endParaRPr lang="en-US"/>
    </a:p>
  </c:txPr>
  <c:printSettings>
    <c:headerFooter/>
    <c:pageMargins b="0.74803149606299935" l="0.70866141732284293" r="0.70866141732284293" t="0.74803149606299935" header="0.3149606299212665" footer="0.3149606299212665"/>
    <c:pageSetup paperSize="9"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14</xdr:col>
      <xdr:colOff>47625</xdr:colOff>
      <xdr:row>34</xdr:row>
      <xdr:rowOff>57150</xdr:rowOff>
    </xdr:from>
    <xdr:to>
      <xdr:col>20</xdr:col>
      <xdr:colOff>552450</xdr:colOff>
      <xdr:row>48</xdr:row>
      <xdr:rowOff>133350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28575</xdr:colOff>
      <xdr:row>31</xdr:row>
      <xdr:rowOff>28575</xdr:rowOff>
    </xdr:from>
    <xdr:to>
      <xdr:col>20</xdr:col>
      <xdr:colOff>542925</xdr:colOff>
      <xdr:row>45</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180975</xdr:colOff>
      <xdr:row>0</xdr:row>
      <xdr:rowOff>57150</xdr:rowOff>
    </xdr:from>
    <xdr:to>
      <xdr:col>13</xdr:col>
      <xdr:colOff>27375</xdr:colOff>
      <xdr:row>31</xdr:row>
      <xdr:rowOff>5250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ADMINI~1/LOCALS~1/Temp/Orphanhood%20meth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Graphs"/>
    </sheetNames>
    <sheetDataSet>
      <sheetData sheetId="0"/>
      <sheetData sheetId="1">
        <row r="1">
          <cell r="R1">
            <v>1999.65</v>
          </cell>
        </row>
      </sheetData>
      <sheetData sheetId="2">
        <row r="1">
          <cell r="R1">
            <v>1999.65</v>
          </cell>
          <cell r="S1">
            <v>1999.65</v>
          </cell>
        </row>
        <row r="29">
          <cell r="D29">
            <v>26.750483870967741</v>
          </cell>
        </row>
      </sheetData>
      <sheetData sheetId="3" refreshError="1">
        <row r="1">
          <cell r="S1">
            <v>1999.65</v>
          </cell>
        </row>
        <row r="17">
          <cell r="C17">
            <v>27.96050811424012</v>
          </cell>
        </row>
      </sheetData>
      <sheetData sheetId="4">
        <row r="17">
          <cell r="C17">
            <v>27.96050811424012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emographicestimation.iussp.org/fr/content/estimation-indirecte-de-la-mortalit&#233;-adulte-&#224;-partir-des-proportions-d&#8217;orphelines-issues-de-" TargetMode="External"/><Relationship Id="rId1" Type="http://schemas.openxmlformats.org/officeDocument/2006/relationships/hyperlink" Target="http://demographicestimation.iussp.org/fr/content/estimation-indirecte-de-la-mortalit%C3%A9-adulte-%C3%A0-partir-des-proportions-d%E2%80%99orphelines-issues-d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64"/>
  <sheetViews>
    <sheetView tabSelected="1" zoomScaleNormal="100" workbookViewId="0">
      <selection activeCell="A3" sqref="A3"/>
    </sheetView>
  </sheetViews>
  <sheetFormatPr defaultColWidth="8.88671875" defaultRowHeight="15"/>
  <cols>
    <col min="1" max="1" width="3.5546875" style="14" customWidth="1"/>
    <col min="2" max="2" width="67.88671875" style="14" customWidth="1"/>
    <col min="3" max="3" width="23.6640625" style="14" customWidth="1"/>
    <col min="4" max="4" width="13.5546875" style="14" customWidth="1"/>
    <col min="5" max="5" width="11.109375" style="14" customWidth="1"/>
    <col min="6" max="6" width="11.5546875" style="14" customWidth="1"/>
    <col min="7" max="7" width="10.88671875" style="14" customWidth="1"/>
    <col min="8" max="16384" width="8.88671875" style="14"/>
  </cols>
  <sheetData>
    <row r="1" spans="1:7" ht="30.75" customHeight="1">
      <c r="A1" s="153"/>
      <c r="B1" s="280" t="s">
        <v>166</v>
      </c>
      <c r="C1" s="285"/>
    </row>
    <row r="2" spans="1:7" ht="15.75">
      <c r="B2" s="127" t="s">
        <v>162</v>
      </c>
      <c r="C2" s="285"/>
    </row>
    <row r="3" spans="1:7" s="27" customFormat="1" ht="8.25" customHeight="1">
      <c r="A3" s="290"/>
      <c r="B3" s="104"/>
    </row>
    <row r="4" spans="1:7" s="27" customFormat="1">
      <c r="A4" s="14"/>
      <c r="B4" s="105" t="s">
        <v>88</v>
      </c>
      <c r="D4" s="285"/>
    </row>
    <row r="5" spans="1:7" s="27" customFormat="1" ht="18.75" customHeight="1">
      <c r="A5" s="14"/>
      <c r="B5" s="293" t="s">
        <v>167</v>
      </c>
      <c r="C5" s="293"/>
      <c r="D5" s="285"/>
    </row>
    <row r="6" spans="1:7" s="105" customFormat="1" ht="9" customHeight="1">
      <c r="A6" s="14"/>
      <c r="B6" s="104"/>
      <c r="C6" s="27"/>
      <c r="D6" s="14"/>
      <c r="F6" s="27"/>
    </row>
    <row r="7" spans="1:7" ht="105">
      <c r="B7" s="105" t="s">
        <v>169</v>
      </c>
      <c r="C7" s="105"/>
      <c r="D7" s="105"/>
      <c r="F7" s="27"/>
    </row>
    <row r="8" spans="1:7" ht="8.25" customHeight="1" thickBot="1">
      <c r="F8" s="27"/>
    </row>
    <row r="9" spans="1:7" ht="15.75" customHeight="1">
      <c r="B9" s="106" t="s">
        <v>93</v>
      </c>
      <c r="C9" s="291" t="s">
        <v>94</v>
      </c>
      <c r="D9" s="292"/>
      <c r="F9" s="27"/>
    </row>
    <row r="10" spans="1:7" ht="15.75" customHeight="1">
      <c r="A10" s="126" t="s">
        <v>63</v>
      </c>
      <c r="B10" s="105" t="s">
        <v>89</v>
      </c>
      <c r="C10" s="116" t="s">
        <v>90</v>
      </c>
      <c r="D10" s="271" t="s">
        <v>86</v>
      </c>
      <c r="F10" s="27"/>
      <c r="G10" s="105"/>
    </row>
    <row r="11" spans="1:7" ht="47.25" customHeight="1">
      <c r="A11" s="126" t="s">
        <v>64</v>
      </c>
      <c r="B11" s="286" t="s">
        <v>170</v>
      </c>
      <c r="C11" s="116" t="s">
        <v>91</v>
      </c>
      <c r="D11" s="281" t="s">
        <v>97</v>
      </c>
      <c r="F11" s="27"/>
      <c r="G11" s="105"/>
    </row>
    <row r="12" spans="1:7" ht="32.25" customHeight="1">
      <c r="A12" s="126" t="s">
        <v>65</v>
      </c>
      <c r="B12" s="286" t="s">
        <v>171</v>
      </c>
      <c r="C12" s="116" t="s">
        <v>92</v>
      </c>
      <c r="D12" s="272" t="s">
        <v>87</v>
      </c>
      <c r="F12" s="27"/>
      <c r="G12" s="105"/>
    </row>
    <row r="13" spans="1:7" ht="31.5" customHeight="1">
      <c r="A13" s="126" t="s">
        <v>66</v>
      </c>
      <c r="B13" s="286" t="s">
        <v>172</v>
      </c>
      <c r="C13" s="116" t="s">
        <v>95</v>
      </c>
      <c r="D13" s="273">
        <v>36396</v>
      </c>
      <c r="F13" s="27"/>
      <c r="G13" s="105"/>
    </row>
    <row r="14" spans="1:7" ht="31.5" customHeight="1" thickBot="1">
      <c r="A14" s="126" t="s">
        <v>67</v>
      </c>
      <c r="B14" s="286" t="s">
        <v>173</v>
      </c>
      <c r="C14" s="287" t="s">
        <v>180</v>
      </c>
      <c r="D14" s="288">
        <v>32806</v>
      </c>
      <c r="F14" s="27"/>
      <c r="G14" s="105"/>
    </row>
    <row r="15" spans="1:7" s="105" customFormat="1" ht="91.5">
      <c r="A15" s="126" t="s">
        <v>68</v>
      </c>
      <c r="B15" s="286" t="s">
        <v>174</v>
      </c>
      <c r="D15" s="107"/>
      <c r="F15" s="27"/>
    </row>
    <row r="16" spans="1:7" ht="77.25">
      <c r="A16" s="130"/>
      <c r="B16" s="286" t="s">
        <v>175</v>
      </c>
      <c r="C16" s="131"/>
      <c r="D16" s="108"/>
      <c r="F16" s="27"/>
    </row>
    <row r="17" spans="1:6" ht="81.75" customHeight="1">
      <c r="A17" s="126" t="s">
        <v>69</v>
      </c>
      <c r="B17" s="286" t="s">
        <v>176</v>
      </c>
      <c r="C17" s="105"/>
      <c r="F17" s="27"/>
    </row>
    <row r="18" spans="1:6" ht="75.75" customHeight="1">
      <c r="A18" s="130"/>
      <c r="B18" s="286" t="s">
        <v>177</v>
      </c>
      <c r="C18" s="131"/>
      <c r="F18" s="27"/>
    </row>
    <row r="19" spans="1:6" ht="77.25" customHeight="1">
      <c r="A19" s="126" t="s">
        <v>71</v>
      </c>
      <c r="B19" s="286" t="s">
        <v>178</v>
      </c>
      <c r="C19" s="105"/>
      <c r="F19" s="27"/>
    </row>
    <row r="20" spans="1:6" ht="109.5" customHeight="1">
      <c r="A20" s="126" t="s">
        <v>70</v>
      </c>
      <c r="B20" s="286" t="s">
        <v>179</v>
      </c>
      <c r="C20" s="105"/>
      <c r="F20" s="27"/>
    </row>
    <row r="21" spans="1:6">
      <c r="F21" s="27"/>
    </row>
    <row r="22" spans="1:6">
      <c r="B22" s="109"/>
      <c r="F22" s="27"/>
    </row>
    <row r="23" spans="1:6">
      <c r="F23" s="27"/>
    </row>
    <row r="24" spans="1:6">
      <c r="F24" s="27"/>
    </row>
    <row r="25" spans="1:6">
      <c r="F25" s="27"/>
    </row>
    <row r="26" spans="1:6">
      <c r="F26" s="27"/>
    </row>
    <row r="27" spans="1:6">
      <c r="F27" s="27"/>
    </row>
    <row r="28" spans="1:6">
      <c r="F28" s="27"/>
    </row>
    <row r="29" spans="1:6">
      <c r="F29" s="27"/>
    </row>
    <row r="30" spans="1:6">
      <c r="F30" s="27"/>
    </row>
    <row r="31" spans="1:6">
      <c r="F31" s="27"/>
    </row>
    <row r="32" spans="1:6">
      <c r="F32" s="27"/>
    </row>
    <row r="33" spans="2:8">
      <c r="F33" s="27"/>
    </row>
    <row r="34" spans="2:8">
      <c r="F34" s="27"/>
    </row>
    <row r="35" spans="2:8">
      <c r="F35" s="27"/>
    </row>
    <row r="36" spans="2:8">
      <c r="F36" s="27"/>
    </row>
    <row r="37" spans="2:8">
      <c r="F37" s="27"/>
    </row>
    <row r="38" spans="2:8">
      <c r="F38" s="27"/>
    </row>
    <row r="44" spans="2:8">
      <c r="C44" s="110"/>
      <c r="D44" s="110"/>
      <c r="E44" s="111"/>
      <c r="F44" s="111"/>
      <c r="G44" s="111"/>
      <c r="H44" s="110"/>
    </row>
    <row r="45" spans="2:8" ht="15.75">
      <c r="B45" s="112"/>
      <c r="H45" s="113"/>
    </row>
    <row r="46" spans="2:8">
      <c r="B46" s="112"/>
      <c r="H46" s="110"/>
    </row>
    <row r="47" spans="2:8">
      <c r="B47" s="112"/>
      <c r="H47" s="110"/>
    </row>
    <row r="48" spans="2:8">
      <c r="B48" s="112"/>
      <c r="H48" s="110"/>
    </row>
    <row r="49" spans="2:8">
      <c r="B49" s="112"/>
      <c r="H49" s="110"/>
    </row>
    <row r="50" spans="2:8">
      <c r="B50" s="112"/>
      <c r="H50" s="110"/>
    </row>
    <row r="51" spans="2:8">
      <c r="B51" s="112"/>
      <c r="H51" s="110"/>
    </row>
    <row r="52" spans="2:8">
      <c r="B52" s="112"/>
      <c r="H52" s="110"/>
    </row>
    <row r="53" spans="2:8">
      <c r="B53" s="112"/>
      <c r="H53" s="110"/>
    </row>
    <row r="54" spans="2:8">
      <c r="B54" s="112"/>
      <c r="H54" s="110"/>
    </row>
    <row r="55" spans="2:8">
      <c r="B55" s="112"/>
      <c r="H55" s="110"/>
    </row>
    <row r="56" spans="2:8">
      <c r="B56" s="112"/>
      <c r="H56" s="110"/>
    </row>
    <row r="57" spans="2:8">
      <c r="B57" s="112"/>
      <c r="H57" s="110"/>
    </row>
    <row r="58" spans="2:8">
      <c r="B58" s="112"/>
      <c r="H58" s="110"/>
    </row>
    <row r="59" spans="2:8">
      <c r="B59" s="112"/>
      <c r="H59" s="110"/>
    </row>
    <row r="60" spans="2:8">
      <c r="B60" s="112"/>
      <c r="H60" s="110"/>
    </row>
    <row r="61" spans="2:8">
      <c r="B61" s="112"/>
      <c r="C61" s="111"/>
      <c r="D61" s="111"/>
      <c r="E61" s="114"/>
      <c r="F61" s="114"/>
      <c r="G61" s="111"/>
      <c r="H61" s="110"/>
    </row>
    <row r="62" spans="2:8">
      <c r="B62" s="112"/>
      <c r="E62" s="115"/>
      <c r="F62" s="115"/>
    </row>
    <row r="63" spans="2:8">
      <c r="E63" s="115"/>
      <c r="F63" s="115"/>
    </row>
    <row r="64" spans="2:8">
      <c r="E64" s="110"/>
      <c r="F64" s="110"/>
    </row>
  </sheetData>
  <sheetProtection sheet="1" objects="1" scenarios="1" selectLockedCells="1"/>
  <mergeCells count="2">
    <mergeCell ref="C9:D9"/>
    <mergeCell ref="B5:C5"/>
  </mergeCells>
  <dataValidations count="4">
    <dataValidation type="date" operator="greaterThanOrEqual" showInputMessage="1" showErrorMessage="1" errorTitle="Please enter a date!" error="Only dates in format DD/MM/YYYY are accepted in this field" promptTitle="La date" prompt="Veuillez remplir la date en utilisant le format standard de date en fonction de votre ordinateur." sqref="D13">
      <formula1>1</formula1>
    </dataValidation>
    <dataValidation type="list" allowBlank="1" showInputMessage="1" showErrorMessage="1" promptTitle="Select mortality index" sqref="D12">
      <formula1>"45q15,30q30,20q50"</formula1>
    </dataValidation>
    <dataValidation type="date" operator="greaterThanOrEqual" showInputMessage="1" showErrorMessage="1" errorTitle="Please enter a date!" error="Only dates in the format DD/MM/YYYY are accepted in this field" promptTitle="La date" prompt="Veuillez remplir la date en utilisant le format standard de date en fonction de votre ordinateur." sqref="D14">
      <formula1>14611</formula1>
    </dataValidation>
    <dataValidation type="list" showInputMessage="1" showErrorMessage="1" sqref="D11">
      <formula1>"NU Général,Princeton Est,Princeton Nord,Princeton Sud,Princeton Ouest,SIDA,Autre"</formula1>
    </dataValidation>
  </dataValidations>
  <hyperlinks>
    <hyperlink ref="B5" r:id="rId1"/>
    <hyperlink ref="B5:C5" r:id="rId2" display="http://demographicestimation.iussp.org/fr/content/orphelines-plusieurs-enquêtes-ou-recensements"/>
  </hyperlinks>
  <pageMargins left="0.70866141732283472" right="0.70866141732283472" top="0.98425196850393704" bottom="0.98425196850393704" header="0.31496062992125984" footer="0.31496062992125984"/>
  <pageSetup paperSize="9" scale="82" orientation="portrait" r:id="rId3"/>
  <headerFooter>
    <oddHeader>&amp;L&amp;"Cambria,Bold"&amp;14Tools for Demographic Estimation&amp;R&amp;"Cambria,Bold"&amp;14Synthetic orphanhood</oddHeader>
    <oddFooter xml:space="preserve">&amp;L&amp;"Cambria,Regular"&amp;F&amp;R&amp;"Cambria,Regular"&amp;D &amp;T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ublished="0">
    <tabColor theme="6" tint="0.59999389629810485"/>
  </sheetPr>
  <dimension ref="A1:O41"/>
  <sheetViews>
    <sheetView zoomScaleNormal="100" workbookViewId="0">
      <selection activeCell="E1" sqref="E1"/>
    </sheetView>
  </sheetViews>
  <sheetFormatPr defaultColWidth="8.88671875" defaultRowHeight="12.75"/>
  <cols>
    <col min="1" max="1" width="8.88671875" style="153"/>
    <col min="2" max="3" width="13.6640625" style="153" bestFit="1" customWidth="1"/>
    <col min="4" max="9" width="11.33203125" style="153" customWidth="1"/>
    <col min="10" max="10" width="3.5546875" style="153" customWidth="1"/>
    <col min="11" max="16384" width="8.88671875" style="153"/>
  </cols>
  <sheetData>
    <row r="1" spans="1:15" ht="16.5" customHeight="1">
      <c r="A1" s="276" t="s">
        <v>96</v>
      </c>
      <c r="G1" s="244" t="s">
        <v>102</v>
      </c>
      <c r="H1" s="244" t="s">
        <v>103</v>
      </c>
      <c r="K1" s="225" t="s">
        <v>104</v>
      </c>
    </row>
    <row r="2" spans="1:15" ht="16.5" customHeight="1">
      <c r="A2" s="224" t="s">
        <v>0</v>
      </c>
      <c r="B2" s="267" t="s">
        <v>97</v>
      </c>
      <c r="C2" s="267" t="s">
        <v>98</v>
      </c>
      <c r="D2" s="267" t="s">
        <v>99</v>
      </c>
      <c r="E2" s="267" t="s">
        <v>100</v>
      </c>
      <c r="F2" s="267" t="s">
        <v>101</v>
      </c>
      <c r="G2" s="267" t="s">
        <v>164</v>
      </c>
      <c r="H2" s="267" t="s">
        <v>164</v>
      </c>
      <c r="I2" s="224" t="s">
        <v>163</v>
      </c>
      <c r="K2" s="225" t="s">
        <v>105</v>
      </c>
    </row>
    <row r="3" spans="1:15" ht="16.5" customHeight="1">
      <c r="A3" s="132">
        <v>15</v>
      </c>
      <c r="B3" s="245">
        <v>-1.0121945536850769</v>
      </c>
      <c r="C3" s="245">
        <v>-0.97971406825728613</v>
      </c>
      <c r="D3" s="245">
        <v>-0.96635456814626275</v>
      </c>
      <c r="E3" s="245">
        <v>-0.88990310948808893</v>
      </c>
      <c r="F3" s="245">
        <v>-1.0293119689456429</v>
      </c>
      <c r="G3" s="246">
        <v>-0.70939487473677565</v>
      </c>
      <c r="H3" s="246">
        <v>-1.0190362906620025</v>
      </c>
      <c r="I3" s="186"/>
      <c r="K3" s="224" t="s">
        <v>13</v>
      </c>
      <c r="L3" s="224" t="s">
        <v>47</v>
      </c>
      <c r="M3" s="224" t="s">
        <v>48</v>
      </c>
      <c r="N3" s="224" t="s">
        <v>49</v>
      </c>
    </row>
    <row r="4" spans="1:15" ht="16.5" customHeight="1">
      <c r="A4" s="132">
        <v>20</v>
      </c>
      <c r="B4" s="245">
        <v>-0.97234684182353803</v>
      </c>
      <c r="C4" s="245">
        <v>-0.94156371692343144</v>
      </c>
      <c r="D4" s="245">
        <v>-0.91382222014342573</v>
      </c>
      <c r="E4" s="245">
        <v>-0.85999289910331278</v>
      </c>
      <c r="F4" s="245">
        <v>-0.97893414503700538</v>
      </c>
      <c r="G4" s="245">
        <v>-0.68063365699059852</v>
      </c>
      <c r="H4" s="245">
        <v>-0.90868722106918232</v>
      </c>
      <c r="I4" s="186"/>
      <c r="K4" s="69" t="s">
        <v>14</v>
      </c>
      <c r="L4" s="63">
        <v>-0.28939999999999999</v>
      </c>
      <c r="M4" s="210">
        <v>1.25E-3</v>
      </c>
      <c r="N4" s="63">
        <v>1.2559</v>
      </c>
    </row>
    <row r="5" spans="1:15" ht="16.5" customHeight="1">
      <c r="A5" s="132">
        <v>25</v>
      </c>
      <c r="B5" s="245">
        <v>-0.92078751270821413</v>
      </c>
      <c r="C5" s="245">
        <v>-0.89159541950333177</v>
      </c>
      <c r="D5" s="245">
        <v>-0.85013265027358209</v>
      </c>
      <c r="E5" s="245">
        <v>-0.82016153698599226</v>
      </c>
      <c r="F5" s="245">
        <v>-0.91633966970304337</v>
      </c>
      <c r="G5" s="245">
        <v>-0.63663610554231309</v>
      </c>
      <c r="H5" s="245">
        <v>-0.74909520239224869</v>
      </c>
      <c r="I5" s="186"/>
      <c r="K5" s="69" t="s">
        <v>15</v>
      </c>
      <c r="L5" s="63">
        <v>-0.17180000000000001</v>
      </c>
      <c r="M5" s="210">
        <v>2.2200000000000002E-3</v>
      </c>
      <c r="N5" s="63">
        <v>1.1123000000000001</v>
      </c>
    </row>
    <row r="6" spans="1:15" ht="16.5" customHeight="1">
      <c r="A6" s="132">
        <v>30</v>
      </c>
      <c r="B6" s="245">
        <v>-0.86548423243967132</v>
      </c>
      <c r="C6" s="245">
        <v>-0.84219551169775642</v>
      </c>
      <c r="D6" s="245">
        <v>-0.78726242697886062</v>
      </c>
      <c r="E6" s="245">
        <v>-0.78007392332133241</v>
      </c>
      <c r="F6" s="245">
        <v>-0.85459253778955946</v>
      </c>
      <c r="G6" s="245">
        <v>-0.55864801282680754</v>
      </c>
      <c r="H6" s="245">
        <v>-0.5976638264287264</v>
      </c>
      <c r="I6" s="186"/>
      <c r="K6" s="69" t="s">
        <v>16</v>
      </c>
      <c r="L6" s="63">
        <v>-0.15129999999999999</v>
      </c>
      <c r="M6" s="210">
        <v>3.7200000000000002E-3</v>
      </c>
      <c r="N6" s="63">
        <v>1.0525</v>
      </c>
    </row>
    <row r="7" spans="1:15" ht="16.5" customHeight="1">
      <c r="A7" s="132">
        <v>35</v>
      </c>
      <c r="B7" s="245">
        <v>-0.80533674084601314</v>
      </c>
      <c r="C7" s="245">
        <v>-0.79104803230330434</v>
      </c>
      <c r="D7" s="245">
        <v>-0.72474545944961821</v>
      </c>
      <c r="E7" s="245">
        <v>-0.73709896740170688</v>
      </c>
      <c r="F7" s="245">
        <v>-0.79123192333414838</v>
      </c>
      <c r="G7" s="245">
        <v>-0.44823740874019735</v>
      </c>
      <c r="H7" s="245">
        <v>-0.48388709423556725</v>
      </c>
      <c r="I7" s="186"/>
      <c r="K7" s="69" t="s">
        <v>17</v>
      </c>
      <c r="L7" s="63">
        <v>-0.18079999999999999</v>
      </c>
      <c r="M7" s="210">
        <v>5.8599999999999998E-3</v>
      </c>
      <c r="N7" s="63">
        <v>1.0266999999999999</v>
      </c>
    </row>
    <row r="8" spans="1:15" ht="16.5" customHeight="1">
      <c r="A8" s="132">
        <v>40</v>
      </c>
      <c r="B8" s="245">
        <v>-0.73732521540819196</v>
      </c>
      <c r="C8" s="245">
        <v>-0.73425391825061403</v>
      </c>
      <c r="D8" s="245">
        <v>-0.66077403595339856</v>
      </c>
      <c r="E8" s="245">
        <v>-0.69020740216054988</v>
      </c>
      <c r="F8" s="245">
        <v>-0.72290929940989257</v>
      </c>
      <c r="G8" s="245">
        <v>-0.33308729649040303</v>
      </c>
      <c r="H8" s="245">
        <v>-0.40309179245798843</v>
      </c>
      <c r="I8" s="186"/>
      <c r="K8" s="69" t="s">
        <v>18</v>
      </c>
      <c r="L8" s="63">
        <v>-0.25109999999999999</v>
      </c>
      <c r="M8" s="210">
        <v>8.8500000000000002E-3</v>
      </c>
      <c r="N8" s="63">
        <v>1.0219</v>
      </c>
    </row>
    <row r="9" spans="1:15" ht="16.5" customHeight="1">
      <c r="A9" s="132">
        <v>45</v>
      </c>
      <c r="B9" s="245">
        <v>-0.65863624320988345</v>
      </c>
      <c r="C9" s="245">
        <v>-0.66825754255920489</v>
      </c>
      <c r="D9" s="245">
        <v>-0.5904613819796557</v>
      </c>
      <c r="E9" s="245">
        <v>-0.63449440257961387</v>
      </c>
      <c r="F9" s="245">
        <v>-0.6461549890735192</v>
      </c>
      <c r="G9" s="245">
        <v>-0.22167922217187563</v>
      </c>
      <c r="H9" s="245">
        <v>-0.34172767313734953</v>
      </c>
      <c r="I9" s="186"/>
      <c r="K9" s="69" t="s">
        <v>19</v>
      </c>
      <c r="L9" s="63">
        <v>-0.3644</v>
      </c>
      <c r="M9" s="210">
        <v>1.2869999999999999E-2</v>
      </c>
      <c r="N9" s="63">
        <v>1.038</v>
      </c>
    </row>
    <row r="10" spans="1:15" ht="16.5" customHeight="1">
      <c r="A10" s="132">
        <v>50</v>
      </c>
      <c r="B10" s="245">
        <v>-0.56432091512237903</v>
      </c>
      <c r="C10" s="245">
        <v>-0.58660888869906025</v>
      </c>
      <c r="D10" s="245">
        <v>-0.51474890543256313</v>
      </c>
      <c r="E10" s="245">
        <v>-0.56821295557201257</v>
      </c>
      <c r="F10" s="245">
        <v>-0.55659173180953114</v>
      </c>
      <c r="G10" s="245">
        <v>-0.12340097216390046</v>
      </c>
      <c r="H10" s="245">
        <v>-0.26204925902883125</v>
      </c>
      <c r="I10" s="186"/>
      <c r="K10" s="69" t="s">
        <v>20</v>
      </c>
      <c r="L10" s="63">
        <v>-0.5181</v>
      </c>
      <c r="M10" s="210">
        <v>1.7950000000000001E-2</v>
      </c>
      <c r="N10" s="63">
        <v>1.0752999999999999</v>
      </c>
    </row>
    <row r="11" spans="1:15" ht="16.5" customHeight="1">
      <c r="A11" s="132">
        <v>55</v>
      </c>
      <c r="B11" s="245">
        <v>-0.44835796349979129</v>
      </c>
      <c r="C11" s="245">
        <v>-0.48111641634940366</v>
      </c>
      <c r="D11" s="245">
        <v>-0.42188099777551347</v>
      </c>
      <c r="E11" s="245">
        <v>-0.48239734581505644</v>
      </c>
      <c r="F11" s="245">
        <v>-0.44666706004400114</v>
      </c>
      <c r="G11" s="245">
        <v>-3.7741261678927496E-2</v>
      </c>
      <c r="H11" s="245">
        <v>-0.15798816106459881</v>
      </c>
      <c r="I11" s="186"/>
      <c r="K11" s="69" t="s">
        <v>21</v>
      </c>
      <c r="L11" s="63">
        <v>-0.68799999999999994</v>
      </c>
      <c r="M11" s="210">
        <v>2.342E-2</v>
      </c>
      <c r="N11" s="63">
        <v>1.1275999999999999</v>
      </c>
    </row>
    <row r="12" spans="1:15" ht="16.5" customHeight="1">
      <c r="A12" s="132">
        <v>60</v>
      </c>
      <c r="B12" s="245">
        <v>-0.30638850188113281</v>
      </c>
      <c r="C12" s="245">
        <v>-0.34745214284807552</v>
      </c>
      <c r="D12" s="245">
        <v>-0.31373408763068089</v>
      </c>
      <c r="E12" s="245">
        <v>-0.37368650277193127</v>
      </c>
      <c r="F12" s="245">
        <v>-0.31288957869926254</v>
      </c>
      <c r="G12" s="245">
        <v>6.0023300700182657E-2</v>
      </c>
      <c r="H12" s="245">
        <v>-2.2013733772545899E-2</v>
      </c>
      <c r="I12" s="186"/>
      <c r="K12" s="204" t="s">
        <v>22</v>
      </c>
      <c r="L12" s="64">
        <v>-0.8054</v>
      </c>
      <c r="M12" s="211">
        <v>2.7210000000000002E-2</v>
      </c>
      <c r="N12" s="64">
        <v>1.1677999999999999</v>
      </c>
    </row>
    <row r="13" spans="1:15" ht="16.5" customHeight="1">
      <c r="A13" s="132">
        <v>65</v>
      </c>
      <c r="B13" s="245">
        <v>-0.13218620461701414</v>
      </c>
      <c r="C13" s="245">
        <v>-0.17916315353789958</v>
      </c>
      <c r="D13" s="245">
        <v>-0.17374005998585826</v>
      </c>
      <c r="E13" s="245">
        <v>-0.22956293913585316</v>
      </c>
      <c r="F13" s="245">
        <v>-0.14574826715382799</v>
      </c>
      <c r="G13" s="245">
        <v>0.19267999897808619</v>
      </c>
      <c r="H13" s="245">
        <v>0.15618718293827644</v>
      </c>
      <c r="I13" s="186"/>
    </row>
    <row r="14" spans="1:15" ht="16.5" customHeight="1">
      <c r="A14" s="132">
        <v>70</v>
      </c>
      <c r="B14" s="245">
        <v>8.1075417880201409E-2</v>
      </c>
      <c r="C14" s="245">
        <v>3.4873769526037102E-2</v>
      </c>
      <c r="D14" s="245">
        <v>7.709813626405328E-3</v>
      </c>
      <c r="E14" s="245">
        <v>-4.0702942595531359E-2</v>
      </c>
      <c r="F14" s="245">
        <v>6.0162515402529336E-2</v>
      </c>
      <c r="G14" s="245">
        <v>0.36990982282098506</v>
      </c>
      <c r="H14" s="245">
        <v>0.38855515160543486</v>
      </c>
      <c r="I14" s="186"/>
      <c r="K14" s="225" t="s">
        <v>106</v>
      </c>
    </row>
    <row r="15" spans="1:15" ht="16.5" customHeight="1">
      <c r="A15" s="132">
        <v>75</v>
      </c>
      <c r="B15" s="245">
        <v>0.34157292464829403</v>
      </c>
      <c r="C15" s="245">
        <v>0.3123474009290419</v>
      </c>
      <c r="D15" s="245">
        <v>0.24438970566438267</v>
      </c>
      <c r="E15" s="245">
        <v>0.21969545818577857</v>
      </c>
      <c r="F15" s="245">
        <v>0.32200302729512403</v>
      </c>
      <c r="G15" s="245">
        <v>0.6017457010738323</v>
      </c>
      <c r="H15" s="245">
        <v>0.68955523679593611</v>
      </c>
      <c r="I15" s="186"/>
      <c r="K15" s="225" t="s">
        <v>107</v>
      </c>
      <c r="O15" s="75"/>
    </row>
    <row r="16" spans="1:15" ht="16.5" customHeight="1">
      <c r="A16" s="132">
        <v>80</v>
      </c>
      <c r="B16" s="245">
        <v>0.6615291707175992</v>
      </c>
      <c r="C16" s="245">
        <v>0.67726953010875401</v>
      </c>
      <c r="D16" s="245">
        <v>0.5542075593189103</v>
      </c>
      <c r="E16" s="245">
        <v>0.58006843196258251</v>
      </c>
      <c r="F16" s="245">
        <v>0.66202299315788493</v>
      </c>
      <c r="G16" s="245">
        <v>0.90049171444679954</v>
      </c>
      <c r="H16" s="245">
        <v>1.0868989921247891</v>
      </c>
      <c r="I16" s="186"/>
      <c r="K16" s="224" t="s">
        <v>13</v>
      </c>
      <c r="L16" s="224" t="s">
        <v>47</v>
      </c>
      <c r="M16" s="224" t="s">
        <v>48</v>
      </c>
      <c r="N16" s="224" t="s">
        <v>49</v>
      </c>
      <c r="O16" s="77"/>
    </row>
    <row r="17" spans="1:15" ht="16.5" customHeight="1">
      <c r="A17" s="133">
        <v>85</v>
      </c>
      <c r="B17" s="247">
        <v>1.067151820502233</v>
      </c>
      <c r="C17" s="247">
        <v>1.17951998038618</v>
      </c>
      <c r="D17" s="247">
        <v>0.97306427262294348</v>
      </c>
      <c r="E17" s="247">
        <v>1.0907265436318963</v>
      </c>
      <c r="F17" s="247">
        <v>1.1203444618292409</v>
      </c>
      <c r="G17" s="247">
        <v>1.2911358001153606</v>
      </c>
      <c r="H17" s="247">
        <v>1.6191743791923827</v>
      </c>
      <c r="I17" s="187"/>
      <c r="K17" s="69" t="s">
        <v>17</v>
      </c>
      <c r="L17" s="81">
        <f>-0.8623</f>
        <v>-0.86229999999999996</v>
      </c>
      <c r="M17" s="81">
        <v>2.9199999999999999E-3</v>
      </c>
      <c r="N17" s="81">
        <v>1.7861</v>
      </c>
      <c r="O17" s="76"/>
    </row>
    <row r="18" spans="1:15" ht="16.5" customHeight="1">
      <c r="G18" s="248"/>
      <c r="H18" s="248"/>
      <c r="K18" s="69" t="s">
        <v>18</v>
      </c>
      <c r="L18" s="81">
        <f>-0.3822</f>
        <v>-0.38219999999999998</v>
      </c>
      <c r="M18" s="81">
        <v>6.79E-3</v>
      </c>
      <c r="N18" s="81">
        <v>1.2061999999999999</v>
      </c>
      <c r="O18" s="75"/>
    </row>
    <row r="19" spans="1:15" ht="16.5" customHeight="1">
      <c r="A19" s="277" t="s">
        <v>108</v>
      </c>
      <c r="G19" s="248"/>
      <c r="H19" s="249"/>
      <c r="K19" s="69" t="s">
        <v>19</v>
      </c>
      <c r="L19" s="81">
        <f>-0.4355</f>
        <v>-0.4355</v>
      </c>
      <c r="M19" s="81">
        <v>1.197E-2</v>
      </c>
      <c r="N19" s="63">
        <v>1.131</v>
      </c>
      <c r="O19" s="75"/>
    </row>
    <row r="20" spans="1:15" ht="16.5" customHeight="1">
      <c r="A20" s="250" t="s">
        <v>25</v>
      </c>
      <c r="B20" s="251">
        <v>0</v>
      </c>
      <c r="C20" s="250" t="s">
        <v>74</v>
      </c>
      <c r="D20" s="251">
        <v>1</v>
      </c>
      <c r="G20" s="248"/>
      <c r="H20" s="249"/>
      <c r="K20" s="69" t="s">
        <v>20</v>
      </c>
      <c r="L20" s="81">
        <f>-0.5995</f>
        <v>-0.59950000000000003</v>
      </c>
      <c r="M20" s="81">
        <v>1.847E-2</v>
      </c>
      <c r="N20" s="81">
        <v>1.1418999999999999</v>
      </c>
      <c r="O20" s="74"/>
    </row>
    <row r="21" spans="1:15" ht="16.5" customHeight="1">
      <c r="A21" s="47"/>
      <c r="B21" s="52" t="str">
        <f>Introduction!D11</f>
        <v>NU Général</v>
      </c>
      <c r="C21" s="52" t="str">
        <f>B21</f>
        <v>NU Général</v>
      </c>
      <c r="D21" s="52" t="s">
        <v>109</v>
      </c>
      <c r="E21" s="52" t="s">
        <v>109</v>
      </c>
      <c r="G21" s="52" t="s">
        <v>112</v>
      </c>
      <c r="H21" s="52" t="s">
        <v>114</v>
      </c>
      <c r="K21" s="69" t="s">
        <v>21</v>
      </c>
      <c r="L21" s="81">
        <f>-0.7984</f>
        <v>-0.7984</v>
      </c>
      <c r="M21" s="81">
        <v>2.547E-2</v>
      </c>
      <c r="N21" s="81">
        <v>1.1866000000000001</v>
      </c>
      <c r="O21" s="74"/>
    </row>
    <row r="22" spans="1:15" ht="16.5" customHeight="1">
      <c r="A22" s="155" t="s">
        <v>0</v>
      </c>
      <c r="B22" s="62" t="s">
        <v>53</v>
      </c>
      <c r="C22" s="62" t="s">
        <v>53</v>
      </c>
      <c r="D22" s="62" t="s">
        <v>110</v>
      </c>
      <c r="E22" s="62" t="s">
        <v>111</v>
      </c>
      <c r="G22" s="62" t="s">
        <v>113</v>
      </c>
      <c r="H22" s="62" t="s">
        <v>113</v>
      </c>
      <c r="K22" s="204" t="s">
        <v>22</v>
      </c>
      <c r="L22" s="64">
        <f>-0.936</f>
        <v>-0.93600000000000005</v>
      </c>
      <c r="M22" s="82">
        <v>3.039E-2</v>
      </c>
      <c r="N22" s="82">
        <v>1.2225999999999999</v>
      </c>
      <c r="O22" s="74"/>
    </row>
    <row r="23" spans="1:15" ht="16.5" customHeight="1">
      <c r="A23" s="223"/>
      <c r="B23" s="203" t="s">
        <v>54</v>
      </c>
      <c r="C23" s="46" t="s">
        <v>76</v>
      </c>
      <c r="D23" s="46" t="s">
        <v>29</v>
      </c>
      <c r="E23" s="46" t="s">
        <v>29</v>
      </c>
      <c r="G23" s="46" t="s">
        <v>84</v>
      </c>
      <c r="H23" s="46" t="s">
        <v>84</v>
      </c>
      <c r="O23" s="74"/>
    </row>
    <row r="24" spans="1:15" ht="16.5" customHeight="1">
      <c r="A24" s="212">
        <v>15</v>
      </c>
      <c r="B24" s="102">
        <f>$B$20+$D$20*IF(Introduction!$D$11="SIDA",NA(),HLOOKUP(Introduction!D$11,Modèles!$B$2:$I$17,ROW()-ROW(B$24)+2,FALSE))</f>
        <v>-1.0121945536850769</v>
      </c>
      <c r="C24" s="102">
        <f>1/(1+EXP(2*B24))</f>
        <v>0.88333409005509533</v>
      </c>
      <c r="D24" s="226"/>
      <c r="E24" s="226"/>
      <c r="G24" s="268">
        <f>1/(1+EXP(2*G3))</f>
        <v>0.80514861719303354</v>
      </c>
      <c r="H24" s="268">
        <f>1/(1+EXP(2*H3))</f>
        <v>0.88473686022992692</v>
      </c>
      <c r="K24" s="225" t="s">
        <v>115</v>
      </c>
    </row>
    <row r="25" spans="1:15" ht="16.5" customHeight="1">
      <c r="A25" s="212">
        <f t="shared" ref="A25:A38" si="0">5+A24</f>
        <v>20</v>
      </c>
      <c r="B25" s="89">
        <f>$B$20+$D$20*IF(Introduction!$D$11="SIDA",NA(),HLOOKUP(Introduction!D$11,Modèles!$B$2:$I$17,ROW()-ROW(B$24)+2,FALSE))</f>
        <v>-0.97234684182353803</v>
      </c>
      <c r="C25" s="89">
        <f t="shared" ref="C25:C38" si="1">1/(1+EXP(2*B25))</f>
        <v>0.87486688839026305</v>
      </c>
      <c r="D25" s="89"/>
      <c r="E25" s="89"/>
      <c r="G25" s="269">
        <f t="shared" ref="G25:H38" si="2">1/(1+EXP(2*G4))</f>
        <v>0.79596559224198304</v>
      </c>
      <c r="H25" s="269">
        <f t="shared" si="2"/>
        <v>0.86025078256936516</v>
      </c>
      <c r="K25" s="225" t="s">
        <v>105</v>
      </c>
    </row>
    <row r="26" spans="1:15" ht="16.5" customHeight="1">
      <c r="A26" s="212">
        <f t="shared" si="0"/>
        <v>25</v>
      </c>
      <c r="B26" s="89">
        <f>$B$20+$D$20*IF(Introduction!$D$11="SIDA",NA(),HLOOKUP(Introduction!D$11,Modèles!$B$2:$I$17,ROW()-ROW(B$24)+2,FALSE))</f>
        <v>-0.92078751270821413</v>
      </c>
      <c r="C26" s="89">
        <f t="shared" si="1"/>
        <v>0.86313487643920483</v>
      </c>
      <c r="D26" s="89"/>
      <c r="E26" s="89"/>
      <c r="G26" s="269">
        <f t="shared" si="2"/>
        <v>0.78130238188256707</v>
      </c>
      <c r="H26" s="269">
        <f t="shared" si="2"/>
        <v>0.81730442636868916</v>
      </c>
      <c r="K26" s="224" t="s">
        <v>13</v>
      </c>
      <c r="L26" s="224" t="s">
        <v>47</v>
      </c>
      <c r="M26" s="224" t="s">
        <v>48</v>
      </c>
      <c r="N26" s="224" t="s">
        <v>49</v>
      </c>
      <c r="O26" s="224" t="s">
        <v>75</v>
      </c>
    </row>
    <row r="27" spans="1:15" ht="16.5" customHeight="1">
      <c r="A27" s="212">
        <f t="shared" si="0"/>
        <v>30</v>
      </c>
      <c r="B27" s="89">
        <f>$B$20+$D$20*IF(Introduction!$D$11="SIDA",NA(),HLOOKUP(Introduction!D$11,Modèles!$B$2:$I$17,ROW()-ROW(B$24)+2,FALSE))</f>
        <v>-0.86548423243967132</v>
      </c>
      <c r="C27" s="89">
        <f t="shared" si="1"/>
        <v>0.84953625561237445</v>
      </c>
      <c r="D27" s="89"/>
      <c r="E27" s="89"/>
      <c r="G27" s="269">
        <f t="shared" si="2"/>
        <v>0.7534868125811095</v>
      </c>
      <c r="H27" s="269">
        <f t="shared" si="2"/>
        <v>0.7676925562852156</v>
      </c>
      <c r="K27" s="213" t="s">
        <v>14</v>
      </c>
      <c r="L27" s="214">
        <v>-0.55779999999999996</v>
      </c>
      <c r="M27" s="215">
        <v>4.0000000000000002E-4</v>
      </c>
      <c r="N27" s="214">
        <v>1.47078</v>
      </c>
      <c r="O27" s="214">
        <v>6.9779999999999995E-2</v>
      </c>
    </row>
    <row r="28" spans="1:15" ht="16.5" customHeight="1">
      <c r="A28" s="212">
        <f t="shared" si="0"/>
        <v>35</v>
      </c>
      <c r="B28" s="89">
        <f>$B$20+$D$20*IF(Introduction!$D$11="SIDA",NA(),HLOOKUP(Introduction!D$11,Modèles!$B$2:$I$17,ROW()-ROW(B$24)+2,FALSE))</f>
        <v>-0.80533674084601314</v>
      </c>
      <c r="C28" s="89">
        <f t="shared" si="1"/>
        <v>0.83350486950461589</v>
      </c>
      <c r="D28" s="89"/>
      <c r="E28" s="89"/>
      <c r="G28" s="269">
        <f t="shared" si="2"/>
        <v>0.71022453817524256</v>
      </c>
      <c r="H28" s="269">
        <f t="shared" si="2"/>
        <v>0.72467562410872377</v>
      </c>
      <c r="K28" s="69" t="s">
        <v>15</v>
      </c>
      <c r="L28" s="216">
        <v>-0.40129999999999999</v>
      </c>
      <c r="M28" s="217">
        <v>5.7600000000000004E-3</v>
      </c>
      <c r="N28" s="216">
        <v>1.5602</v>
      </c>
      <c r="O28" s="216">
        <v>-0.35220000000000001</v>
      </c>
    </row>
    <row r="29" spans="1:15" ht="16.5" customHeight="1">
      <c r="A29" s="212">
        <f t="shared" si="0"/>
        <v>40</v>
      </c>
      <c r="B29" s="89">
        <f>$B$20+$D$20*IF(Introduction!$D$11="SIDA",NA(),HLOOKUP(Introduction!D$11,Modèles!$B$2:$I$17,ROW()-ROW(B$24)+2,FALSE))</f>
        <v>-0.73732521540819196</v>
      </c>
      <c r="C29" s="89">
        <f t="shared" si="1"/>
        <v>0.81376319977144118</v>
      </c>
      <c r="D29" s="89"/>
      <c r="E29" s="89"/>
      <c r="G29" s="269">
        <f t="shared" si="2"/>
        <v>0.66064605808896804</v>
      </c>
      <c r="H29" s="269">
        <f t="shared" si="2"/>
        <v>0.6912956536783974</v>
      </c>
      <c r="K29" s="69" t="s">
        <v>16</v>
      </c>
      <c r="L29" s="216">
        <v>-0.33289999999999997</v>
      </c>
      <c r="M29" s="217">
        <v>1.031E-2</v>
      </c>
      <c r="N29" s="216">
        <v>0.66559999999999997</v>
      </c>
      <c r="O29" s="216">
        <v>0.34189999999999998</v>
      </c>
    </row>
    <row r="30" spans="1:15" ht="16.5" customHeight="1">
      <c r="A30" s="212">
        <f t="shared" si="0"/>
        <v>45</v>
      </c>
      <c r="B30" s="89">
        <f>$B$20+$D$20*IF(Introduction!$D$11="SIDA",NA(),HLOOKUP(Introduction!D$11,Modèles!$B$2:$I$17,ROW()-ROW(B$24)+2,FALSE))</f>
        <v>-0.65863624320988345</v>
      </c>
      <c r="C30" s="89">
        <f t="shared" si="1"/>
        <v>0.78872756141577427</v>
      </c>
      <c r="D30" s="89"/>
      <c r="E30" s="89"/>
      <c r="G30" s="269">
        <f t="shared" si="2"/>
        <v>0.60905898920282775</v>
      </c>
      <c r="H30" s="269">
        <f t="shared" si="2"/>
        <v>0.66450945804880357</v>
      </c>
      <c r="K30" s="69" t="s">
        <v>17</v>
      </c>
      <c r="L30" s="216">
        <v>-0.47260000000000002</v>
      </c>
      <c r="M30" s="217">
        <v>1.559E-2</v>
      </c>
      <c r="N30" s="216">
        <v>0.21609999999999999</v>
      </c>
      <c r="O30" s="216">
        <v>0.78959999999999997</v>
      </c>
    </row>
    <row r="31" spans="1:15" ht="16.5" customHeight="1">
      <c r="A31" s="212">
        <f t="shared" si="0"/>
        <v>50</v>
      </c>
      <c r="B31" s="89">
        <f>$B$20+$D$20*IF(Introduction!$D$11="SIDA",NA(),HLOOKUP(Introduction!D$11,Modèles!$B$2:$I$17,ROW()-ROW(B$24)+2,FALSE))</f>
        <v>-0.56432091512237903</v>
      </c>
      <c r="C31" s="89">
        <f t="shared" si="1"/>
        <v>0.75558816659335271</v>
      </c>
      <c r="D31" s="89"/>
      <c r="E31" s="89">
        <f>IF(Introduction!$D$11="SIDA",-0.5*LN($H31/($H$30-$H31)),-0.5*LN($C31/($C$30-$C31)))</f>
        <v>-1.5633868619875475</v>
      </c>
      <c r="G31" s="269">
        <f t="shared" si="2"/>
        <v>0.56138919450631619</v>
      </c>
      <c r="H31" s="269">
        <f t="shared" si="2"/>
        <v>0.6281056364085158</v>
      </c>
      <c r="K31" s="69" t="s">
        <v>18</v>
      </c>
      <c r="L31" s="216">
        <v>-0.7056</v>
      </c>
      <c r="M31" s="217">
        <v>2.0760000000000001E-2</v>
      </c>
      <c r="N31" s="216">
        <v>0.19969999999999999</v>
      </c>
      <c r="O31" s="216">
        <v>0.90659999999999996</v>
      </c>
    </row>
    <row r="32" spans="1:15" ht="16.5" customHeight="1">
      <c r="A32" s="212">
        <f t="shared" si="0"/>
        <v>55</v>
      </c>
      <c r="B32" s="89">
        <f>$B$20+$D$20*IF(Introduction!$D$11="SIDA",NA(),HLOOKUP(Introduction!D$11,Modèles!$B$2:$I$17,ROW()-ROW(B$24)+2,FALSE))</f>
        <v>-0.44835796349979129</v>
      </c>
      <c r="C32" s="89">
        <f t="shared" si="1"/>
        <v>0.71027415735971011</v>
      </c>
      <c r="D32" s="89"/>
      <c r="E32" s="89">
        <f>IF(Introduction!$D$11="SIDA",-0.5*LN($H32/($H$30-$H32)),-0.5*LN($C32/($C$30-$C32)))</f>
        <v>-1.1015730814914695</v>
      </c>
      <c r="G32" s="269">
        <f t="shared" si="2"/>
        <v>0.51886167614812073</v>
      </c>
      <c r="H32" s="269">
        <f t="shared" si="2"/>
        <v>0.57834333925841475</v>
      </c>
      <c r="K32" s="69" t="s">
        <v>19</v>
      </c>
      <c r="L32" s="216">
        <v>-0.9153</v>
      </c>
      <c r="M32" s="217">
        <v>2.4930000000000001E-2</v>
      </c>
      <c r="N32" s="216">
        <v>0.34839999999999999</v>
      </c>
      <c r="O32" s="216">
        <v>0.86309999999999998</v>
      </c>
    </row>
    <row r="33" spans="1:15" ht="16.5" customHeight="1">
      <c r="A33" s="212">
        <f t="shared" si="0"/>
        <v>60</v>
      </c>
      <c r="B33" s="89">
        <f>$B$20+$D$20*IF(Introduction!$D$11="SIDA",NA(),HLOOKUP(Introduction!D$11,Modèles!$B$2:$I$17,ROW()-ROW(B$24)+2,FALSE))</f>
        <v>-0.30638850188113281</v>
      </c>
      <c r="C33" s="89">
        <f t="shared" si="1"/>
        <v>0.64857401363075629</v>
      </c>
      <c r="D33" s="89">
        <f>IF(Introduction!$D$11="SIDA",-0.5*LN($G33/($G$32-$G33)),-0.5*LN($C33/($C$32-$C33)))</f>
        <v>-1.1762449336785945</v>
      </c>
      <c r="E33" s="89">
        <f>IF(Introduction!$D$11="SIDA",-0.5*LN($H33/($H$30-$H33)),-0.5*LN($C33/($C$30-$C33)))</f>
        <v>-0.76601876812841596</v>
      </c>
      <c r="G33" s="269">
        <f t="shared" si="2"/>
        <v>0.47002433974235502</v>
      </c>
      <c r="H33" s="269">
        <f t="shared" si="2"/>
        <v>0.51100508923853971</v>
      </c>
      <c r="K33" s="204" t="s">
        <v>20</v>
      </c>
      <c r="L33" s="218">
        <v>-0.995</v>
      </c>
      <c r="M33" s="219">
        <v>2.6349999999999998E-2</v>
      </c>
      <c r="N33" s="218">
        <v>0.4269</v>
      </c>
      <c r="O33" s="218">
        <v>0.82630000000000003</v>
      </c>
    </row>
    <row r="34" spans="1:15" ht="16.5" customHeight="1">
      <c r="A34" s="212">
        <f t="shared" si="0"/>
        <v>65</v>
      </c>
      <c r="B34" s="89">
        <f>$B$20+$D$20*IF(Introduction!$D$11="SIDA",NA(),HLOOKUP(Introduction!D$11,Modèles!$B$2:$I$17,ROW()-ROW(B$24)+2,FALSE))</f>
        <v>-0.13218620461701414</v>
      </c>
      <c r="C34" s="89">
        <f t="shared" si="1"/>
        <v>0.56571082144915019</v>
      </c>
      <c r="D34" s="89">
        <f>IF(Introduction!$D$11="SIDA",-0.5*LN($G34/($G$32-$G34)),-0.5*LN($C34/($C$32-$C34)))</f>
        <v>-0.68218265457568761</v>
      </c>
      <c r="E34" s="89">
        <f>IF(Introduction!$D$11="SIDA",-0.5*LN($H34/($H$30-$H34)),-0.5*LN($C34/($C$30-$C34)))</f>
        <v>-0.46541809785791788</v>
      </c>
      <c r="G34" s="269">
        <f t="shared" si="2"/>
        <v>0.40483478396612887</v>
      </c>
      <c r="H34" s="269">
        <f t="shared" si="2"/>
        <v>0.4225352891437606</v>
      </c>
    </row>
    <row r="35" spans="1:15" ht="16.5" customHeight="1">
      <c r="A35" s="212">
        <f t="shared" si="0"/>
        <v>70</v>
      </c>
      <c r="B35" s="89">
        <f>$B$20+$D$20*IF(Introduction!$D$11="SIDA",NA(),HLOOKUP(Introduction!D$11,Modèles!$B$2:$I$17,ROW()-ROW(B$24)+2,FALSE))</f>
        <v>8.1075417880201409E-2</v>
      </c>
      <c r="C35" s="89">
        <f t="shared" si="1"/>
        <v>0.45955087928190458</v>
      </c>
      <c r="D35" s="89">
        <f>IF(Introduction!$D$11="SIDA",-0.5*LN($G35/($G$32-$G35)),-0.5*LN($C35/($C$32-$C35)))</f>
        <v>-0.30294990498899921</v>
      </c>
      <c r="E35" s="89">
        <f>IF(Introduction!$D$11="SIDA",-0.5*LN($H35/($H$30-$H35)),-0.5*LN($C35/($C$30-$C35)))</f>
        <v>-0.16682751438817933</v>
      </c>
      <c r="G35" s="269">
        <f t="shared" si="2"/>
        <v>0.32304358355274804</v>
      </c>
      <c r="H35" s="269">
        <f t="shared" si="2"/>
        <v>0.31494301579263917</v>
      </c>
      <c r="K35" s="225" t="s">
        <v>116</v>
      </c>
    </row>
    <row r="36" spans="1:15" ht="16.5" customHeight="1">
      <c r="A36" s="212">
        <f t="shared" si="0"/>
        <v>75</v>
      </c>
      <c r="B36" s="89">
        <f>$B$20+$D$20*IF(Introduction!$D$11="SIDA",NA(),HLOOKUP(Introduction!D$11,Modèles!$B$2:$I$17,ROW()-ROW(B$24)+2,FALSE))</f>
        <v>0.34157292464829403</v>
      </c>
      <c r="C36" s="89">
        <f t="shared" si="1"/>
        <v>0.33555954367971813</v>
      </c>
      <c r="D36" s="89">
        <f>IF(Introduction!$D$11="SIDA",-0.5*LN($G36/($G$32-$G36)),-0.5*LN($C36/($C$32-$C36)))</f>
        <v>5.5182643976472066E-2</v>
      </c>
      <c r="E36" s="89">
        <f>IF(Introduction!$D$11="SIDA",-0.5*LN($H36/($H$30-$H36)),-0.5*LN($C36/($C$30-$C36)))</f>
        <v>0.15023176934794785</v>
      </c>
      <c r="G36" s="269">
        <f t="shared" si="2"/>
        <v>0.230854697852799</v>
      </c>
      <c r="H36" s="269">
        <f t="shared" si="2"/>
        <v>0.20115189958564808</v>
      </c>
      <c r="K36" s="225" t="s">
        <v>107</v>
      </c>
    </row>
    <row r="37" spans="1:15" ht="16.5" customHeight="1">
      <c r="A37" s="212">
        <f t="shared" si="0"/>
        <v>80</v>
      </c>
      <c r="B37" s="89">
        <f>$B$20+$D$20*IF(Introduction!$D$11="SIDA",NA(),HLOOKUP(Introduction!D$11,Modèles!$B$2:$I$17,ROW()-ROW(B$24)+2,FALSE))</f>
        <v>0.6615291707175992</v>
      </c>
      <c r="C37" s="89">
        <f t="shared" si="1"/>
        <v>0.21030991517579642</v>
      </c>
      <c r="D37" s="89">
        <f>IF(Introduction!$D$11="SIDA",-0.5*LN($G37/($G$32-$G37)),-0.5*LN($C37/($C$32-$C37)))</f>
        <v>0.43297717543326841</v>
      </c>
      <c r="E37" s="89">
        <f>IF(Introduction!$D$11="SIDA",-0.5*LN($H37/($H$30-$H37)),-0.5*LN($C37/($C$30-$C37)))</f>
        <v>0.50585697486335535</v>
      </c>
      <c r="G37" s="269">
        <f t="shared" si="2"/>
        <v>0.14173139490914308</v>
      </c>
      <c r="H37" s="269">
        <f t="shared" si="2"/>
        <v>0.10212823900192645</v>
      </c>
      <c r="K37" s="224" t="s">
        <v>13</v>
      </c>
      <c r="L37" s="224" t="s">
        <v>47</v>
      </c>
      <c r="M37" s="224" t="s">
        <v>48</v>
      </c>
      <c r="N37" s="224" t="s">
        <v>49</v>
      </c>
      <c r="O37" s="224" t="s">
        <v>50</v>
      </c>
    </row>
    <row r="38" spans="1:15" ht="16.5" customHeight="1">
      <c r="A38" s="220">
        <f t="shared" si="0"/>
        <v>85</v>
      </c>
      <c r="B38" s="64">
        <f>$B$20+$D$20*IF(Introduction!$D$11="SIDA",NA(),HLOOKUP(Introduction!D$11,Modèles!$B$2:$I$17,ROW()-ROW(B$24)+2,FALSE))</f>
        <v>1.067151820502233</v>
      </c>
      <c r="C38" s="64">
        <f t="shared" si="1"/>
        <v>0.1058071243893276</v>
      </c>
      <c r="D38" s="64">
        <f>IF(Introduction!$D$11="SIDA",-0.5*LN($G38/($G$32-$G38)),-0.5*LN($C38/($C$32-$C38)))</f>
        <v>0.87136463855403157</v>
      </c>
      <c r="E38" s="64">
        <f>IF(Introduction!$D$11="SIDA",-0.5*LN($H38/($H$30-$H38)),-0.5*LN($C38/($C$30-$C38)))</f>
        <v>0.93238025345515652</v>
      </c>
      <c r="G38" s="270">
        <f t="shared" si="2"/>
        <v>7.0288142020316788E-2</v>
      </c>
      <c r="H38" s="270">
        <f t="shared" si="2"/>
        <v>3.7747822673980046E-2</v>
      </c>
      <c r="K38" s="221">
        <v>25</v>
      </c>
      <c r="L38" s="222">
        <f>-0.0554</f>
        <v>-5.5399999999999998E-2</v>
      </c>
      <c r="M38" s="222">
        <v>7.5700000000000003E-3</v>
      </c>
      <c r="N38" s="222">
        <v>2.3900000000000001E-2</v>
      </c>
      <c r="O38" s="89">
        <v>0.80800000000000005</v>
      </c>
    </row>
    <row r="39" spans="1:15" ht="16.5" customHeight="1">
      <c r="H39" s="249"/>
      <c r="K39" s="221">
        <v>30</v>
      </c>
      <c r="L39" s="222">
        <f>-0.7539</f>
        <v>-0.75390000000000001</v>
      </c>
      <c r="M39" s="222">
        <v>1.558E-2</v>
      </c>
      <c r="N39" s="222">
        <v>0.6452</v>
      </c>
      <c r="O39" s="222">
        <v>0.64980000000000004</v>
      </c>
    </row>
    <row r="40" spans="1:15" ht="16.5" customHeight="1">
      <c r="K40" s="221">
        <v>35</v>
      </c>
      <c r="L40" s="222">
        <f>-1.0809</f>
        <v>-1.0809</v>
      </c>
      <c r="M40" s="222">
        <v>2.273E-2</v>
      </c>
      <c r="N40" s="222">
        <v>0.92889999999999995</v>
      </c>
      <c r="O40" s="222">
        <v>0.48070000000000002</v>
      </c>
    </row>
    <row r="41" spans="1:15" ht="16.5" customHeight="1">
      <c r="K41" s="204">
        <v>40</v>
      </c>
      <c r="L41" s="82">
        <f>-1.1726</f>
        <v>-1.1726000000000001</v>
      </c>
      <c r="M41" s="82">
        <v>2.647E-2</v>
      </c>
      <c r="N41" s="82">
        <v>0.93810000000000004</v>
      </c>
      <c r="O41" s="82">
        <v>0.43719999999999998</v>
      </c>
    </row>
  </sheetData>
  <sheetProtection sheet="1" objects="1" scenarios="1"/>
  <dataValidations xWindow="187" yWindow="636" count="3">
    <dataValidation type="decimal" allowBlank="1" showInputMessage="1" showErrorMessage="1" error="Enter numeric values of the logits" sqref="I3:I17">
      <formula1>-2</formula1>
      <formula2>2</formula2>
    </dataValidation>
    <dataValidation type="decimal" allowBlank="1" showInputMessage="1" showErrorMessage="1" error="0.6&lt;β&lt;1.5" prompt="Le paramètre β peut varier entre 0,6 (mortalité relativement élevée chez les plus jeunes) et 1,5 (mortalité relativement élevée chez les personnes âgées) autour d'une valeur centrale de l'un." sqref="D20">
      <formula1>0.6</formula1>
      <formula2>1.5</formula2>
    </dataValidation>
    <dataValidation type="decimal" allowBlank="1" showInputMessage="1" showErrorMessage="1" error="-1.5&lt;α&lt;1" prompt="Le paramètre α peut varier de -1,5 (faible mortalité) jusqu’ à 1 (forte mortalité) autour d'une valeur centrale de zéro." sqref="B20">
      <formula1>-1.5</formula1>
      <formula2>1</formula2>
    </dataValidation>
  </dataValidations>
  <pageMargins left="0.70866141732283472" right="0.70866141732283472" top="0.74803149606299213" bottom="0.74803149606299213" header="0.31496062992125984" footer="0.31496062992125984"/>
  <pageSetup paperSize="9" orientation="portrait" r:id="rId1"/>
  <headerFooter>
    <oddHeader xml:space="preserve">&amp;L&amp;"Cambria,Bold"&amp;14Tools for Demographic Estimation&amp;R&amp;"Cambria,Bold"&amp;14Synthetic orphanhood </oddHeader>
    <oddFooter>&amp;L&amp;"+,Regular"&amp;F&amp;R&amp;"+,Regular"&amp;D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ublished="0">
    <tabColor theme="7" tint="0.59999389629810485"/>
    <pageSetUpPr autoPageBreaks="0"/>
  </sheetPr>
  <dimension ref="A1:BH143"/>
  <sheetViews>
    <sheetView workbookViewId="0">
      <selection activeCell="L1" sqref="L1"/>
    </sheetView>
  </sheetViews>
  <sheetFormatPr defaultColWidth="8.88671875" defaultRowHeight="15"/>
  <cols>
    <col min="1" max="1" width="5.33203125" style="160" customWidth="1"/>
    <col min="2" max="2" width="9.33203125" style="160" customWidth="1"/>
    <col min="3" max="3" width="8.77734375" style="160" customWidth="1"/>
    <col min="4" max="4" width="12.6640625" style="160" customWidth="1"/>
    <col min="5" max="5" width="9.33203125" style="160" customWidth="1"/>
    <col min="6" max="6" width="3.77734375" style="160" customWidth="1"/>
    <col min="7" max="10" width="8.77734375" style="160" customWidth="1"/>
    <col min="11" max="11" width="9.33203125" style="160" customWidth="1"/>
    <col min="12" max="13" width="8.77734375" style="160" customWidth="1"/>
    <col min="14" max="15" width="6.77734375" style="160" customWidth="1"/>
    <col min="16" max="17" width="7.77734375" style="160" customWidth="1"/>
    <col min="18" max="18" width="10" style="160" customWidth="1"/>
    <col min="19" max="19" width="8.33203125" style="160" customWidth="1"/>
    <col min="20" max="21" width="6.77734375" style="160" customWidth="1"/>
    <col min="22" max="22" width="3.77734375" style="160" customWidth="1"/>
    <col min="23" max="27" width="7.77734375" style="160" customWidth="1"/>
    <col min="28" max="16384" width="8.88671875" style="160"/>
  </cols>
  <sheetData>
    <row r="1" spans="1:60" ht="15" customHeight="1">
      <c r="A1" s="15" t="s">
        <v>117</v>
      </c>
      <c r="B1" s="4"/>
      <c r="C1" s="4"/>
      <c r="D1" s="4"/>
      <c r="E1" s="4"/>
      <c r="F1" s="4"/>
      <c r="G1" s="15" t="str">
        <f>Introduction!D10</f>
        <v>Kenya</v>
      </c>
      <c r="H1" s="15" t="str">
        <f>"Femmes "&amp;TEXT(YEAR(K1),"####")</f>
        <v>Femmes 1999</v>
      </c>
      <c r="I1" s="4"/>
      <c r="J1" s="289" t="s">
        <v>182</v>
      </c>
      <c r="K1" s="184">
        <f>Introduction!D13</f>
        <v>36396</v>
      </c>
      <c r="L1" s="17"/>
      <c r="M1" s="17"/>
      <c r="N1" s="26" t="s">
        <v>160</v>
      </c>
      <c r="O1" s="4"/>
      <c r="P1" s="4"/>
      <c r="Q1" s="4"/>
      <c r="R1" s="4"/>
      <c r="S1" s="4"/>
      <c r="T1" s="289" t="s">
        <v>182</v>
      </c>
      <c r="U1" s="4">
        <f>YEAR(K1)+YEARFRAC(DATE(YEAR(K1),1,1),K1,1)</f>
        <v>1999.6438356164383</v>
      </c>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row>
    <row r="2" spans="1:60" ht="15" customHeight="1">
      <c r="A2" s="161"/>
      <c r="B2" s="162"/>
      <c r="C2" s="162"/>
      <c r="D2" s="162"/>
      <c r="E2" s="162"/>
      <c r="F2" s="162"/>
      <c r="G2" s="161"/>
      <c r="H2" s="162"/>
      <c r="I2" s="161"/>
      <c r="J2" s="294" t="s">
        <v>183</v>
      </c>
      <c r="K2" s="161"/>
      <c r="L2" s="18"/>
      <c r="M2" s="18"/>
      <c r="N2" s="42" t="s">
        <v>118</v>
      </c>
      <c r="O2" s="42" t="s">
        <v>135</v>
      </c>
      <c r="P2" s="42" t="s">
        <v>2</v>
      </c>
      <c r="Q2" s="42" t="s">
        <v>24</v>
      </c>
      <c r="R2" s="42" t="s">
        <v>136</v>
      </c>
      <c r="S2" s="42" t="s">
        <v>137</v>
      </c>
      <c r="T2" s="42" t="s">
        <v>138</v>
      </c>
      <c r="U2" s="163"/>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row>
    <row r="3" spans="1:60" ht="15" customHeight="1">
      <c r="A3" s="155" t="s">
        <v>118</v>
      </c>
      <c r="B3" s="155" t="s">
        <v>1</v>
      </c>
      <c r="C3" s="155" t="s">
        <v>120</v>
      </c>
      <c r="D3" s="155" t="s">
        <v>2</v>
      </c>
      <c r="E3" s="301" t="s">
        <v>122</v>
      </c>
      <c r="F3" s="206"/>
      <c r="G3" s="155" t="s">
        <v>52</v>
      </c>
      <c r="H3" s="155" t="s">
        <v>24</v>
      </c>
      <c r="I3" s="155" t="s">
        <v>123</v>
      </c>
      <c r="J3" s="295"/>
      <c r="K3" s="136"/>
      <c r="L3" s="18"/>
      <c r="M3" s="18"/>
      <c r="N3" s="155" t="s">
        <v>119</v>
      </c>
      <c r="O3" s="155" t="s">
        <v>139</v>
      </c>
      <c r="P3" s="155" t="s">
        <v>140</v>
      </c>
      <c r="Q3" s="155" t="s">
        <v>141</v>
      </c>
      <c r="R3" s="155" t="s">
        <v>142</v>
      </c>
      <c r="S3" s="155" t="s">
        <v>143</v>
      </c>
      <c r="T3" s="155" t="s">
        <v>144</v>
      </c>
      <c r="U3" s="155" t="s">
        <v>3</v>
      </c>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row>
    <row r="4" spans="1:60" ht="15" customHeight="1">
      <c r="A4" s="158" t="s">
        <v>119</v>
      </c>
      <c r="B4" s="283" t="s">
        <v>181</v>
      </c>
      <c r="C4" s="158" t="s">
        <v>121</v>
      </c>
      <c r="D4" s="158" t="s">
        <v>26</v>
      </c>
      <c r="E4" s="302"/>
      <c r="F4" s="235" t="s">
        <v>13</v>
      </c>
      <c r="G4" s="158" t="s">
        <v>60</v>
      </c>
      <c r="H4" s="158" t="s">
        <v>28</v>
      </c>
      <c r="I4" s="44" t="s">
        <v>36</v>
      </c>
      <c r="J4" s="123" t="str">
        <f>Introduction!$D$12</f>
        <v>30q30</v>
      </c>
      <c r="K4" s="46" t="s">
        <v>3</v>
      </c>
      <c r="L4" s="19"/>
      <c r="M4" s="19"/>
      <c r="N4" s="164"/>
      <c r="O4" s="49" t="s">
        <v>30</v>
      </c>
      <c r="P4" s="275" t="s">
        <v>26</v>
      </c>
      <c r="Q4" s="49" t="s">
        <v>33</v>
      </c>
      <c r="R4" s="275" t="s">
        <v>27</v>
      </c>
      <c r="S4" s="275" t="s">
        <v>34</v>
      </c>
      <c r="T4" s="49" t="s">
        <v>35</v>
      </c>
      <c r="U4" s="16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row>
    <row r="5" spans="1:60" ht="15" customHeight="1">
      <c r="A5" s="70" t="s">
        <v>41</v>
      </c>
      <c r="B5" s="258">
        <v>2111200</v>
      </c>
      <c r="C5" s="258">
        <v>2086900</v>
      </c>
      <c r="D5" s="70"/>
      <c r="E5" s="32"/>
      <c r="F5" s="32"/>
      <c r="G5" s="70"/>
      <c r="H5" s="155"/>
      <c r="I5" s="53"/>
      <c r="J5" s="67"/>
      <c r="K5" s="157"/>
      <c r="L5" s="19"/>
      <c r="M5" s="19"/>
      <c r="N5" s="165"/>
      <c r="O5" s="50"/>
      <c r="P5" s="155"/>
      <c r="Q5" s="50"/>
      <c r="R5" s="155"/>
      <c r="S5" s="155"/>
      <c r="T5" s="50"/>
      <c r="U5" s="165"/>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row>
    <row r="6" spans="1:60" ht="15" customHeight="1">
      <c r="A6" s="34" t="s">
        <v>37</v>
      </c>
      <c r="B6" s="258">
        <v>1922080</v>
      </c>
      <c r="C6" s="258">
        <v>1870660</v>
      </c>
      <c r="D6" s="145">
        <f>C6/B6</f>
        <v>0.97324773162407396</v>
      </c>
      <c r="E6" s="51">
        <f t="shared" ref="E6:E14" si="0">MBAR</f>
        <v>26.750483870967741</v>
      </c>
      <c r="F6" s="236">
        <v>10</v>
      </c>
      <c r="G6" s="145">
        <f>IF(AND(D6&gt;0,D6&lt;1),Modèles!L4+Modèles!M4*E6+Modèles!N4*D6,NA())</f>
        <v>0.96633993098538418</v>
      </c>
      <c r="H6" s="95">
        <f>IF(Introduction!$D$11="SIDA",Modèles!H28,Modèles!C28)</f>
        <v>0.83350486950461589</v>
      </c>
      <c r="I6" s="36">
        <f>-0.5*LN(1+(G6/H6-1/IF(Introduction!$D$11="SIDA",Modèles!$H$26,Modèles!$C$26))/(1-G6))</f>
        <v>-1.1770427484330531E-2</v>
      </c>
      <c r="J6" s="191">
        <f>IF(Introduction!$D$11="SIDA",1-(1+EXP(2*(I6+IF(Introduction!D$12="20q50",Modèles!$H$10,IF(Introduction!D$12="45q15",Modèles!$H$3,Modèles!$H$6)))))/(1+EXP(2*(I6+IF(Introduction!D$12="20q50",Modèles!$H$14,Modèles!$H$12)))),1-(1+EXP(2*(I6+IF(Introduction!D$12="20q50",Modèles!$B$31,IF(Introduction!D$12="45q15",Modèles!$B$24,Modèles!$B$27)))))/(1+EXP(2*(I6+IF(Introduction!D$12="20q50",Modèles!$B$35,Modèles!$B$33)))))</f>
        <v>0.23295625894693361</v>
      </c>
      <c r="K6" s="192">
        <f>U6</f>
        <v>1996.0496992155652</v>
      </c>
      <c r="L6" s="166"/>
      <c r="M6" s="166"/>
      <c r="N6" s="34" t="s">
        <v>37</v>
      </c>
      <c r="O6" s="35">
        <f>7.5</f>
        <v>7.5</v>
      </c>
      <c r="P6" s="32">
        <f t="shared" ref="P6:P14" si="1">D6</f>
        <v>0.97324773162407396</v>
      </c>
      <c r="Q6" s="32">
        <f t="shared" ref="Q6:Q14" si="2">(1-(MBAR+O6)/80)/(1-MBAR/80)</f>
        <v>0.85915364973784403</v>
      </c>
      <c r="R6" s="32">
        <f t="shared" ref="R6:R14" si="3">LN(P6/Q6)/3</f>
        <v>4.1563626433820111E-2</v>
      </c>
      <c r="S6" s="35">
        <f t="shared" ref="S6:S14" si="4">O6/2</f>
        <v>3.75</v>
      </c>
      <c r="T6" s="36">
        <f t="shared" ref="T6:T14" si="5">S6*(1-R6)</f>
        <v>3.5941364008731744</v>
      </c>
      <c r="U6" s="37">
        <f t="shared" ref="U6:U14" si="6">Date_of_survey-T6</f>
        <v>1996.0496992155652</v>
      </c>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row>
    <row r="7" spans="1:60" ht="15" customHeight="1">
      <c r="A7" s="34" t="s">
        <v>5</v>
      </c>
      <c r="B7" s="258">
        <v>1948980</v>
      </c>
      <c r="C7" s="258">
        <v>1863260</v>
      </c>
      <c r="D7" s="145">
        <f t="shared" ref="D7:D14" si="7">C7/B7</f>
        <v>0.9560180196820901</v>
      </c>
      <c r="E7" s="51">
        <f t="shared" si="0"/>
        <v>26.750483870967741</v>
      </c>
      <c r="F7" s="237">
        <v>15</v>
      </c>
      <c r="G7" s="145">
        <f>IF(AND(D7&gt;0,D7&lt;1),Modèles!L5+Modèles!M5*E7+Modèles!N5*D7,NA())</f>
        <v>0.95096491748593737</v>
      </c>
      <c r="H7" s="95">
        <f>IF(Introduction!$D$11="SIDA",Modèles!H29,Modèles!C29)</f>
        <v>0.81376319977144118</v>
      </c>
      <c r="I7" s="36">
        <f>-0.5*LN(1+(G7/H7-1/IF(Introduction!$D$11="SIDA",Modèles!$H$26,Modèles!$C$26))/(1-G7))</f>
        <v>-9.30861997739027E-2</v>
      </c>
      <c r="J7" s="191">
        <f>IF(Introduction!$D$11="SIDA",1-(1+EXP(2*(I7+IF(Introduction!D$12="20q50",Modèles!$H$10,IF(Introduction!D$12="45q15",Modèles!$H$3,Modèles!$H$6)))))/(1+EXP(2*(I7+IF(Introduction!D$12="20q50",Modèles!$H$14,Modèles!$H$12)))),1-(1+EXP(2*(I7+IF(Introduction!D$12="20q50",Modèles!$B$31,IF(Introduction!D$12="45q15",Modèles!$B$24,Modèles!$B$27)))))/(1+EXP(2*(I7+IF(Introduction!D$12="20q50",Modèles!$B$35,Modèles!$B$33)))))</f>
        <v>0.20883865234638599</v>
      </c>
      <c r="K7" s="192">
        <f>U7</f>
        <v>1993.8575152731441</v>
      </c>
      <c r="L7" s="166"/>
      <c r="M7" s="166"/>
      <c r="N7" s="34" t="s">
        <v>5</v>
      </c>
      <c r="O7" s="35">
        <f>O6+5</f>
        <v>12.5</v>
      </c>
      <c r="P7" s="32">
        <f t="shared" si="1"/>
        <v>0.9560180196820901</v>
      </c>
      <c r="Q7" s="32">
        <f t="shared" si="2"/>
        <v>0.76525608289640679</v>
      </c>
      <c r="R7" s="32">
        <f t="shared" si="3"/>
        <v>7.4188745072927692E-2</v>
      </c>
      <c r="S7" s="35">
        <f t="shared" si="4"/>
        <v>6.25</v>
      </c>
      <c r="T7" s="36">
        <f t="shared" si="5"/>
        <v>5.7863203432942019</v>
      </c>
      <c r="U7" s="37">
        <f t="shared" si="6"/>
        <v>1993.8575152731441</v>
      </c>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row>
    <row r="8" spans="1:60" ht="15" customHeight="1">
      <c r="A8" s="34" t="s">
        <v>6</v>
      </c>
      <c r="B8" s="258">
        <v>1678620</v>
      </c>
      <c r="C8" s="258">
        <v>1567120</v>
      </c>
      <c r="D8" s="145">
        <f t="shared" si="7"/>
        <v>0.93357639012998772</v>
      </c>
      <c r="E8" s="51">
        <f t="shared" si="0"/>
        <v>26.750483870967741</v>
      </c>
      <c r="F8" s="237">
        <v>20</v>
      </c>
      <c r="G8" s="145">
        <f>IF(AND(D8&gt;0,D8&lt;1),Modèles!L6+Modèles!M6*E8+Modèles!N6*D8,NA())</f>
        <v>0.93080095061181212</v>
      </c>
      <c r="H8" s="95">
        <f>IF(Introduction!$D$11="SIDA",Modèles!H30,Modèles!C30)</f>
        <v>0.78872756141577427</v>
      </c>
      <c r="I8" s="36">
        <f>-0.5*LN(1+(G8/H8-1/IF(Introduction!$D$11="SIDA",Modèles!$H$26,Modèles!$C$26))/(1-G8))</f>
        <v>-0.13562366123918387</v>
      </c>
      <c r="J8" s="191">
        <f>IF(Introduction!$D$11="SIDA",1-(1+EXP(2*(I8+IF(Introduction!D$12="20q50",Modèles!$H$10,IF(Introduction!D$12="45q15",Modèles!$H$3,Modèles!$H$6)))))/(1+EXP(2*(I8+IF(Introduction!D$12="20q50",Modèles!$H$14,Modèles!$H$12)))),1-(1+EXP(2*(I8+IF(Introduction!D$12="20q50",Modèles!$B$31,IF(Introduction!D$12="45q15",Modèles!$B$24,Modèles!$B$27)))))/(1+EXP(2*(I8+IF(Introduction!D$12="20q50",Modèles!$B$35,Modèles!$B$33)))))</f>
        <v>0.19678575409439114</v>
      </c>
      <c r="K8" s="192">
        <f>U8</f>
        <v>1991.8555174802964</v>
      </c>
      <c r="L8" s="166"/>
      <c r="M8" s="166"/>
      <c r="N8" s="34" t="s">
        <v>6</v>
      </c>
      <c r="O8" s="35">
        <f t="shared" ref="O8:O14" si="8">O7+5</f>
        <v>17.5</v>
      </c>
      <c r="P8" s="32">
        <f t="shared" si="1"/>
        <v>0.93357639012998772</v>
      </c>
      <c r="Q8" s="32">
        <f t="shared" si="2"/>
        <v>0.67135851605496943</v>
      </c>
      <c r="R8" s="32">
        <f t="shared" si="3"/>
        <v>0.10990649872664027</v>
      </c>
      <c r="S8" s="35">
        <f t="shared" si="4"/>
        <v>8.75</v>
      </c>
      <c r="T8" s="36">
        <f t="shared" si="5"/>
        <v>7.7883181361418981</v>
      </c>
      <c r="U8" s="37">
        <f t="shared" si="6"/>
        <v>1991.8555174802964</v>
      </c>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row>
    <row r="9" spans="1:60" ht="15" customHeight="1">
      <c r="A9" s="34" t="s">
        <v>7</v>
      </c>
      <c r="B9" s="258">
        <v>1479460</v>
      </c>
      <c r="C9" s="258">
        <v>1343340</v>
      </c>
      <c r="D9" s="145">
        <f t="shared" si="7"/>
        <v>0.90799345707217494</v>
      </c>
      <c r="E9" s="51">
        <f t="shared" si="0"/>
        <v>26.750483870967741</v>
      </c>
      <c r="F9" s="237">
        <v>25</v>
      </c>
      <c r="G9" s="145">
        <f>IF(AND(D9&gt;0,D9&lt;1),Modèles!L7+Modèles!M7*E9+Modèles!N7*D9,NA())</f>
        <v>0.90819471785987294</v>
      </c>
      <c r="H9" s="95">
        <f>IF(Introduction!$D$11="SIDA",Modèles!H31,Modèles!C31)</f>
        <v>0.75558816659335271</v>
      </c>
      <c r="I9" s="36">
        <f>-0.5*LN(1+(G9/H9-1/IF(Introduction!$D$11="SIDA",Modèles!$H$26,Modèles!$C$26))/(1-G9))</f>
        <v>-0.1935735146438799</v>
      </c>
      <c r="J9" s="191">
        <f>IF(Introduction!$D$11="SIDA",1-(1+EXP(2*(I9+IF(Introduction!D$12="20q50",Modèles!$H$10,IF(Introduction!D$12="45q15",Modèles!$H$3,Modèles!$H$6)))))/(1+EXP(2*(I9+IF(Introduction!D$12="20q50",Modèles!$H$14,Modèles!$H$12)))),1-(1+EXP(2*(I9+IF(Introduction!D$12="20q50",Modèles!$B$31,IF(Introduction!D$12="45q15",Modèles!$B$24,Modèles!$B$27)))))/(1+EXP(2*(I9+IF(Introduction!D$12="20q50",Modèles!$B$35,Modèles!$B$33)))))</f>
        <v>0.1810424805305566</v>
      </c>
      <c r="K9" s="193">
        <f>U9</f>
        <v>1990.0910719402166</v>
      </c>
      <c r="L9" s="166"/>
      <c r="M9" s="166"/>
      <c r="N9" s="34" t="s">
        <v>7</v>
      </c>
      <c r="O9" s="35">
        <f t="shared" si="8"/>
        <v>22.5</v>
      </c>
      <c r="P9" s="32">
        <f t="shared" si="1"/>
        <v>0.90799345707217494</v>
      </c>
      <c r="Q9" s="32">
        <f t="shared" si="2"/>
        <v>0.57746094921353208</v>
      </c>
      <c r="R9" s="32">
        <f t="shared" si="3"/>
        <v>0.15086545100252158</v>
      </c>
      <c r="S9" s="35">
        <f t="shared" si="4"/>
        <v>11.25</v>
      </c>
      <c r="T9" s="36">
        <f t="shared" si="5"/>
        <v>9.5527636762216321</v>
      </c>
      <c r="U9" s="37">
        <f t="shared" si="6"/>
        <v>1990.0910719402166</v>
      </c>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row>
    <row r="10" spans="1:60" ht="15" customHeight="1">
      <c r="A10" s="34" t="s">
        <v>8</v>
      </c>
      <c r="B10" s="258">
        <v>1192500</v>
      </c>
      <c r="C10" s="258">
        <v>1045940</v>
      </c>
      <c r="D10" s="145">
        <f t="shared" si="7"/>
        <v>0.87709853249475889</v>
      </c>
      <c r="E10" s="51">
        <f t="shared" si="0"/>
        <v>26.750483870967741</v>
      </c>
      <c r="F10" s="237">
        <v>30</v>
      </c>
      <c r="G10" s="145">
        <f>IF(AND(D10&gt;0,D10&lt;1),Modèles!L8+Modèles!M8*E10+Modèles!N8*D10,NA())</f>
        <v>0.8819487726144587</v>
      </c>
      <c r="H10" s="95">
        <f>IF(Introduction!$D$11="SIDA",Modèles!H32,Modèles!C32)</f>
        <v>0.71027415735971011</v>
      </c>
      <c r="I10" s="36">
        <f>-0.5*LN(1+(G10/H10-1/IF(Introduction!$D$11="SIDA",Modèles!$H$26,Modèles!$C$26))/(1-G10))</f>
        <v>-0.26655472288177062</v>
      </c>
      <c r="J10" s="191">
        <f>IF(Introduction!$D$11="SIDA",1-(1+EXP(2*(I10+IF(Introduction!D$12="20q50",Modèles!$H$10,IF(Introduction!D$12="45q15",Modèles!$H$3,Modèles!$H$6)))))/(1+EXP(2*(I10+IF(Introduction!D$12="20q50",Modèles!$H$14,Modèles!$H$12)))),1-(1+EXP(2*(I10+IF(Introduction!D$12="20q50",Modèles!$B$31,IF(Introduction!D$12="45q15",Modèles!$B$24,Modèles!$B$27)))))/(1+EXP(2*(I10+IF(Introduction!D$12="20q50",Modèles!$B$35,Modèles!$B$33)))))</f>
        <v>0.16238661614346872</v>
      </c>
      <c r="K10" s="193">
        <f t="shared" ref="K10" si="9">U10</f>
        <v>1988.6229215950241</v>
      </c>
      <c r="L10" s="166"/>
      <c r="M10" s="166"/>
      <c r="N10" s="34" t="s">
        <v>8</v>
      </c>
      <c r="O10" s="35">
        <f t="shared" si="8"/>
        <v>27.5</v>
      </c>
      <c r="P10" s="32">
        <f t="shared" si="1"/>
        <v>0.87709853249475889</v>
      </c>
      <c r="Q10" s="32">
        <f t="shared" si="2"/>
        <v>0.48356338237209484</v>
      </c>
      <c r="R10" s="32">
        <f t="shared" si="3"/>
        <v>0.19847898026077934</v>
      </c>
      <c r="S10" s="35">
        <f t="shared" si="4"/>
        <v>13.75</v>
      </c>
      <c r="T10" s="36">
        <f t="shared" si="5"/>
        <v>11.020914021414283</v>
      </c>
      <c r="U10" s="37">
        <f t="shared" si="6"/>
        <v>1988.6229215950241</v>
      </c>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row>
    <row r="11" spans="1:60" ht="15" customHeight="1">
      <c r="A11" s="34" t="s">
        <v>9</v>
      </c>
      <c r="B11" s="258">
        <v>840940</v>
      </c>
      <c r="C11" s="258">
        <v>693260</v>
      </c>
      <c r="D11" s="145">
        <f t="shared" si="7"/>
        <v>0.82438699550503014</v>
      </c>
      <c r="E11" s="51">
        <f t="shared" si="0"/>
        <v>26.750483870967741</v>
      </c>
      <c r="F11" s="237">
        <v>35</v>
      </c>
      <c r="G11" s="145">
        <f>IF(AND(D11&gt;0,D11&lt;1),Modèles!L9+Modèles!M9*E11+Modèles!N9*D11,NA())</f>
        <v>0.83559242875357609</v>
      </c>
      <c r="H11" s="95">
        <f>IF(Introduction!$D$11="SIDA",Modèles!H33,Modèles!C33)</f>
        <v>0.64857401363075629</v>
      </c>
      <c r="I11" s="36">
        <f>-0.5*LN(1+(G11/H11-1/IF(Introduction!$D$11="SIDA",Modèles!$H$26,Modèles!$C$26))/(1-G11))</f>
        <v>-0.29094429190402998</v>
      </c>
      <c r="J11" s="191">
        <f>IF(Introduction!$D$11="SIDA",1-(1+EXP(2*(I11+IF(Introduction!D$12="20q50",Modèles!$H$10,IF(Introduction!D$12="45q15",Modèles!$H$3,Modèles!$H$6)))))/(1+EXP(2*(I11+IF(Introduction!D$12="20q50",Modèles!$H$14,Modèles!$H$12)))),1-(1+EXP(2*(I11+IF(Introduction!D$12="20q50",Modèles!$B$31,IF(Introduction!D$12="45q15",Modèles!$B$24,Modèles!$B$27)))))/(1+EXP(2*(I11+IF(Introduction!D$12="20q50",Modèles!$B$35,Modèles!$B$33)))))</f>
        <v>0.15645250506571151</v>
      </c>
      <c r="K11" s="193">
        <f t="shared" ref="K11:K13" si="10">IF(U11&gt;U10,NA(),U11)</f>
        <v>1987.4528179565168</v>
      </c>
      <c r="L11" s="166"/>
      <c r="M11" s="166"/>
      <c r="N11" s="34" t="s">
        <v>9</v>
      </c>
      <c r="O11" s="35">
        <f t="shared" si="8"/>
        <v>32.5</v>
      </c>
      <c r="P11" s="32">
        <f t="shared" si="1"/>
        <v>0.82438699550503014</v>
      </c>
      <c r="Q11" s="32">
        <f t="shared" si="2"/>
        <v>0.38966581553065754</v>
      </c>
      <c r="R11" s="32">
        <f t="shared" si="3"/>
        <v>0.2497835286202211</v>
      </c>
      <c r="S11" s="35">
        <f t="shared" si="4"/>
        <v>16.25</v>
      </c>
      <c r="T11" s="36">
        <f t="shared" si="5"/>
        <v>12.191017659921407</v>
      </c>
      <c r="U11" s="37">
        <f t="shared" si="6"/>
        <v>1987.4528179565168</v>
      </c>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row>
    <row r="12" spans="1:60" ht="15" customHeight="1">
      <c r="A12" s="34" t="s">
        <v>10</v>
      </c>
      <c r="B12" s="258">
        <v>718980</v>
      </c>
      <c r="C12" s="258">
        <v>552960</v>
      </c>
      <c r="D12" s="145">
        <f t="shared" si="7"/>
        <v>0.7690895435199866</v>
      </c>
      <c r="E12" s="51">
        <f t="shared" si="0"/>
        <v>26.750483870967741</v>
      </c>
      <c r="F12" s="237">
        <v>40</v>
      </c>
      <c r="G12" s="145">
        <f>IF(AND(D12&gt;0,D12&lt;1),Modèles!L10+Modèles!M10*E12+Modèles!N10*D12,NA())</f>
        <v>0.78907317163091251</v>
      </c>
      <c r="H12" s="95">
        <f>IF(Introduction!$D$11="SIDA",Modèles!H34,Modèles!C34)</f>
        <v>0.56571082144915019</v>
      </c>
      <c r="I12" s="36">
        <f>-0.5*LN(1+(G12/H12-1/IF(Introduction!$D$11="SIDA",Modèles!$H$26,Modèles!$C$26))/(1-G12))</f>
        <v>-0.37574083403179021</v>
      </c>
      <c r="J12" s="191">
        <f>IF(Introduction!$D$11="SIDA",1-(1+EXP(2*(I12+IF(Introduction!D$12="20q50",Modèles!$H$10,IF(Introduction!D$12="45q15",Modèles!$H$3,Modèles!$H$6)))))/(1+EXP(2*(I12+IF(Introduction!D$12="20q50",Modèles!$H$14,Modèles!$H$12)))),1-(1+EXP(2*(I12+IF(Introduction!D$12="20q50",Modèles!$B$31,IF(Introduction!D$12="45q15",Modèles!$B$24,Modèles!$B$27)))))/(1+EXP(2*(I12+IF(Introduction!D$12="20q50",Modèles!$B$35,Modèles!$B$33)))))</f>
        <v>0.13701487226329279</v>
      </c>
      <c r="K12" s="193">
        <f t="shared" si="10"/>
        <v>1986.8665306176206</v>
      </c>
      <c r="L12" s="166"/>
      <c r="M12" s="166"/>
      <c r="N12" s="34" t="s">
        <v>10</v>
      </c>
      <c r="O12" s="35">
        <f t="shared" si="8"/>
        <v>37.5</v>
      </c>
      <c r="P12" s="32">
        <f t="shared" si="1"/>
        <v>0.7690895435199866</v>
      </c>
      <c r="Q12" s="32">
        <f t="shared" si="2"/>
        <v>0.29576824868922019</v>
      </c>
      <c r="R12" s="32">
        <f t="shared" si="3"/>
        <v>0.31854373339638725</v>
      </c>
      <c r="S12" s="35">
        <f t="shared" si="4"/>
        <v>18.75</v>
      </c>
      <c r="T12" s="36">
        <f t="shared" si="5"/>
        <v>12.777304998817741</v>
      </c>
      <c r="U12" s="37">
        <f t="shared" si="6"/>
        <v>1986.8665306176206</v>
      </c>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row>
    <row r="13" spans="1:60" ht="15" customHeight="1">
      <c r="A13" s="34" t="s">
        <v>11</v>
      </c>
      <c r="B13" s="258">
        <v>513840</v>
      </c>
      <c r="C13" s="258">
        <v>343520</v>
      </c>
      <c r="D13" s="145">
        <f t="shared" si="7"/>
        <v>0.66853495251440131</v>
      </c>
      <c r="E13" s="51">
        <f t="shared" si="0"/>
        <v>26.750483870967741</v>
      </c>
      <c r="F13" s="237">
        <v>45</v>
      </c>
      <c r="G13" s="145">
        <f>IF(AND(D13&gt;0,D13&lt;1),Modèles!L11+Modèles!M11*E13+Modèles!N11*D13,NA())</f>
        <v>0.69233634471330341</v>
      </c>
      <c r="H13" s="95">
        <f>IF(Introduction!$D$11="SIDA",Modèles!H35,Modèles!C35)</f>
        <v>0.45955087928190458</v>
      </c>
      <c r="I13" s="36">
        <f>-0.5*LN(1+(G13/H13-1/IF(Introduction!$D$11="SIDA",Modèles!$H$26,Modèles!$C$26))/(1-G13))</f>
        <v>-0.37830700422041058</v>
      </c>
      <c r="J13" s="191">
        <f>IF(Introduction!$D$11="SIDA",1-(1+EXP(2*(I13+IF(Introduction!D$12="20q50",Modèles!$H$10,IF(Introduction!D$12="45q15",Modèles!$H$3,Modèles!$H$6)))))/(1+EXP(2*(I13+IF(Introduction!D$12="20q50",Modèles!$H$14,Modèles!$H$12)))),1-(1+EXP(2*(I13+IF(Introduction!D$12="20q50",Modèles!$B$31,IF(Introduction!D$12="45q15",Modèles!$B$24,Modèles!$B$27)))))/(1+EXP(2*(I13+IF(Introduction!D$12="20q50",Modèles!$B$35,Modèles!$B$33)))))</f>
        <v>0.13645565446601182</v>
      </c>
      <c r="K13" s="193" t="e">
        <f t="shared" si="10"/>
        <v>#N/A</v>
      </c>
      <c r="L13" s="166"/>
      <c r="M13" s="166"/>
      <c r="N13" s="34" t="s">
        <v>11</v>
      </c>
      <c r="O13" s="35">
        <f t="shared" si="8"/>
        <v>42.5</v>
      </c>
      <c r="P13" s="32">
        <f t="shared" si="1"/>
        <v>0.66853495251440131</v>
      </c>
      <c r="Q13" s="32">
        <f t="shared" si="2"/>
        <v>0.20187068184778292</v>
      </c>
      <c r="R13" s="32">
        <f t="shared" si="3"/>
        <v>0.39915379221420827</v>
      </c>
      <c r="S13" s="35">
        <f t="shared" si="4"/>
        <v>21.25</v>
      </c>
      <c r="T13" s="36">
        <f t="shared" si="5"/>
        <v>12.767981915448074</v>
      </c>
      <c r="U13" s="37">
        <f t="shared" si="6"/>
        <v>1986.8758537009903</v>
      </c>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row>
    <row r="14" spans="1:60" ht="15" customHeight="1">
      <c r="A14" s="38" t="s">
        <v>12</v>
      </c>
      <c r="B14" s="188">
        <v>413380</v>
      </c>
      <c r="C14" s="188">
        <v>233700</v>
      </c>
      <c r="D14" s="146">
        <f t="shared" si="7"/>
        <v>0.56533939716483628</v>
      </c>
      <c r="E14" s="41">
        <f t="shared" si="0"/>
        <v>26.750483870967741</v>
      </c>
      <c r="F14" s="238">
        <v>50</v>
      </c>
      <c r="G14" s="146">
        <f>IF(AND(D14&gt;0,D14&lt;1),Modèles!L12+Modèles!M12*E14+Modèles!N12*D14,NA())</f>
        <v>0.58268401413812798</v>
      </c>
      <c r="H14" s="33">
        <f>IF(Introduction!$D$11="SIDA",Modèles!H36,Modèles!C36)</f>
        <v>0.33555954367971813</v>
      </c>
      <c r="I14" s="40">
        <f>-0.5*LN(1+(G14/H14-1/IF(Introduction!$D$11="SIDA",Modèles!$H$26,Modèles!$C$26))/(1-G14))</f>
        <v>-0.43455172443273582</v>
      </c>
      <c r="J14" s="194">
        <f>IF(Introduction!$D$11="SIDA",1-(1+EXP(2*(I14+IF(Introduction!D$12="20q50",Modèles!$H$10,IF(Introduction!D$12="45q15",Modèles!$H$3,Modèles!$H$6)))))/(1+EXP(2*(I14+IF(Introduction!D$12="20q50",Modèles!$H$14,Modèles!$H$12)))),1-(1+EXP(2*(I14+IF(Introduction!D$12="20q50",Modèles!$B$31,IF(Introduction!D$12="45q15",Modèles!$B$24,Modèles!$B$27)))))/(1+EXP(2*(I14+IF(Introduction!D$12="20q50",Modèles!$B$35,Modèles!$B$33)))))</f>
        <v>0.12462560443872828</v>
      </c>
      <c r="K14" s="195" t="e">
        <f>IF(U14&gt;U13,NA(),U14)</f>
        <v>#N/A</v>
      </c>
      <c r="L14" s="166"/>
      <c r="M14" s="166"/>
      <c r="N14" s="38" t="s">
        <v>12</v>
      </c>
      <c r="O14" s="39">
        <f t="shared" si="8"/>
        <v>47.5</v>
      </c>
      <c r="P14" s="33">
        <f t="shared" si="1"/>
        <v>0.56533939716483628</v>
      </c>
      <c r="Q14" s="33">
        <f t="shared" si="2"/>
        <v>0.1079731150063456</v>
      </c>
      <c r="R14" s="33">
        <f t="shared" si="3"/>
        <v>0.55184799757832037</v>
      </c>
      <c r="S14" s="39">
        <f t="shared" si="4"/>
        <v>23.75</v>
      </c>
      <c r="T14" s="40">
        <f t="shared" si="5"/>
        <v>10.643610057514891</v>
      </c>
      <c r="U14" s="41">
        <f t="shared" si="6"/>
        <v>1989.0002255589234</v>
      </c>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row>
    <row r="15" spans="1:60" ht="15" customHeight="1">
      <c r="A15" s="29"/>
      <c r="B15" s="151"/>
      <c r="C15" s="167"/>
      <c r="D15" s="119"/>
      <c r="E15" s="4"/>
      <c r="F15" s="4"/>
      <c r="G15" s="29"/>
      <c r="H15" s="4"/>
      <c r="I15" s="4"/>
      <c r="J15" s="4"/>
      <c r="K15" s="4"/>
      <c r="L15" s="4"/>
      <c r="M15" s="4"/>
      <c r="N15" s="22"/>
      <c r="O15" s="22"/>
      <c r="P15" s="6"/>
      <c r="Q15" s="22"/>
      <c r="R15" s="22"/>
      <c r="S15" s="6"/>
      <c r="T15" s="22"/>
      <c r="U15" s="22"/>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row>
    <row r="16" spans="1:60" ht="15" customHeight="1">
      <c r="A16" s="15" t="s">
        <v>117</v>
      </c>
      <c r="B16" s="119"/>
      <c r="C16" s="119"/>
      <c r="D16" s="119"/>
      <c r="E16" s="4"/>
      <c r="F16" s="4"/>
      <c r="G16" s="15"/>
      <c r="H16" s="15" t="str">
        <f>"Femmes "&amp;TEXT(YEAR(K16),"####")</f>
        <v>Femmes 1989</v>
      </c>
      <c r="I16" s="4"/>
      <c r="J16" s="289" t="s">
        <v>182</v>
      </c>
      <c r="K16" s="184">
        <f>Introduction!D14</f>
        <v>32806</v>
      </c>
      <c r="L16" s="17"/>
      <c r="M16" s="17"/>
      <c r="N16" s="26" t="s">
        <v>160</v>
      </c>
      <c r="O16" s="4"/>
      <c r="P16" s="4"/>
      <c r="Q16" s="4"/>
      <c r="R16" s="4"/>
      <c r="S16" s="4"/>
      <c r="T16" s="289" t="s">
        <v>182</v>
      </c>
      <c r="U16" s="4">
        <f>YEAR(K16)+YEARFRAC(DATE(YEAR(K16),1,1),K16,1)</f>
        <v>1989.813698630137</v>
      </c>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row>
    <row r="17" spans="1:60" ht="15" customHeight="1">
      <c r="A17" s="161"/>
      <c r="B17" s="162"/>
      <c r="C17" s="162"/>
      <c r="D17" s="162"/>
      <c r="E17" s="162"/>
      <c r="F17" s="162"/>
      <c r="G17" s="161"/>
      <c r="H17" s="162"/>
      <c r="I17" s="161"/>
      <c r="J17" s="294" t="s">
        <v>183</v>
      </c>
      <c r="K17" s="161"/>
      <c r="L17" s="18"/>
      <c r="M17" s="18"/>
      <c r="N17" s="42" t="s">
        <v>118</v>
      </c>
      <c r="O17" s="42" t="s">
        <v>135</v>
      </c>
      <c r="P17" s="42" t="s">
        <v>2</v>
      </c>
      <c r="Q17" s="42" t="s">
        <v>24</v>
      </c>
      <c r="R17" s="42" t="s">
        <v>136</v>
      </c>
      <c r="S17" s="42" t="s">
        <v>137</v>
      </c>
      <c r="T17" s="42" t="s">
        <v>138</v>
      </c>
      <c r="U17" s="163"/>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row>
    <row r="18" spans="1:60" ht="15" customHeight="1">
      <c r="A18" s="155" t="s">
        <v>118</v>
      </c>
      <c r="B18" s="155" t="s">
        <v>1</v>
      </c>
      <c r="C18" s="155" t="s">
        <v>120</v>
      </c>
      <c r="D18" s="155" t="s">
        <v>2</v>
      </c>
      <c r="E18" s="301" t="s">
        <v>122</v>
      </c>
      <c r="F18" s="274"/>
      <c r="G18" s="155" t="s">
        <v>52</v>
      </c>
      <c r="H18" s="155" t="s">
        <v>24</v>
      </c>
      <c r="I18" s="155" t="s">
        <v>123</v>
      </c>
      <c r="J18" s="295"/>
      <c r="K18" s="136"/>
      <c r="L18" s="18"/>
      <c r="M18" s="18"/>
      <c r="N18" s="155" t="s">
        <v>119</v>
      </c>
      <c r="O18" s="155" t="s">
        <v>139</v>
      </c>
      <c r="P18" s="155" t="s">
        <v>140</v>
      </c>
      <c r="Q18" s="155" t="s">
        <v>141</v>
      </c>
      <c r="R18" s="155" t="s">
        <v>142</v>
      </c>
      <c r="S18" s="155" t="s">
        <v>143</v>
      </c>
      <c r="T18" s="155" t="s">
        <v>144</v>
      </c>
      <c r="U18" s="155" t="s">
        <v>3</v>
      </c>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row>
    <row r="19" spans="1:60" ht="15" customHeight="1">
      <c r="A19" s="275" t="s">
        <v>119</v>
      </c>
      <c r="B19" s="283" t="s">
        <v>181</v>
      </c>
      <c r="C19" s="275" t="s">
        <v>121</v>
      </c>
      <c r="D19" s="275" t="s">
        <v>26</v>
      </c>
      <c r="E19" s="302"/>
      <c r="F19" s="235" t="s">
        <v>13</v>
      </c>
      <c r="G19" s="275" t="s">
        <v>60</v>
      </c>
      <c r="H19" s="275" t="s">
        <v>28</v>
      </c>
      <c r="I19" s="44" t="s">
        <v>36</v>
      </c>
      <c r="J19" s="123" t="str">
        <f>Introduction!$D$12</f>
        <v>30q30</v>
      </c>
      <c r="K19" s="46" t="s">
        <v>3</v>
      </c>
      <c r="L19" s="19"/>
      <c r="M19" s="19"/>
      <c r="N19" s="164"/>
      <c r="O19" s="49" t="s">
        <v>30</v>
      </c>
      <c r="P19" s="275" t="s">
        <v>26</v>
      </c>
      <c r="Q19" s="49" t="s">
        <v>33</v>
      </c>
      <c r="R19" s="275" t="s">
        <v>27</v>
      </c>
      <c r="S19" s="275" t="s">
        <v>34</v>
      </c>
      <c r="T19" s="49" t="s">
        <v>35</v>
      </c>
      <c r="U19" s="16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row>
    <row r="20" spans="1:60" ht="15" customHeight="1">
      <c r="A20" s="70" t="s">
        <v>41</v>
      </c>
      <c r="B20" s="258">
        <v>1875380</v>
      </c>
      <c r="C20" s="258">
        <v>1864180</v>
      </c>
      <c r="D20" s="70"/>
      <c r="E20" s="32"/>
      <c r="F20" s="32"/>
      <c r="G20" s="70"/>
      <c r="H20" s="155"/>
      <c r="I20" s="53"/>
      <c r="J20" s="67"/>
      <c r="K20" s="157"/>
      <c r="L20" s="19"/>
      <c r="M20" s="19"/>
      <c r="N20" s="165"/>
      <c r="O20" s="50"/>
      <c r="P20" s="155"/>
      <c r="Q20" s="50"/>
      <c r="R20" s="155"/>
      <c r="S20" s="155"/>
      <c r="T20" s="50"/>
      <c r="U20" s="165"/>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row>
    <row r="21" spans="1:60" ht="15" customHeight="1">
      <c r="A21" s="34" t="s">
        <v>37</v>
      </c>
      <c r="B21" s="258">
        <v>1720420</v>
      </c>
      <c r="C21" s="258">
        <v>1697380</v>
      </c>
      <c r="D21" s="145">
        <f>C21/B21</f>
        <v>0.98660792132153774</v>
      </c>
      <c r="E21" s="51">
        <f t="shared" ref="E21:E29" si="11">MBAR</f>
        <v>26.750483870967741</v>
      </c>
      <c r="F21" s="236">
        <v>10</v>
      </c>
      <c r="G21" s="145">
        <f>IF(AND(D21&gt;0,D21&lt;1),Modèles!L4+Modèles!M4*E21+Modèles!N4*D21,NA())</f>
        <v>0.98311899322642904</v>
      </c>
      <c r="H21" s="95">
        <f>IF(Introduction!$D$11="SIDA",Modèles!H28,Modèles!C28)</f>
        <v>0.83350486950461589</v>
      </c>
      <c r="I21" s="96">
        <f>-0.5*LN(1+(G21/H21-1/IF(Introduction!$D$11="SIDA",Modèles!$H$26,Modèles!$C$26))/(1-G21))</f>
        <v>-0.4032388541033341</v>
      </c>
      <c r="J21" s="191">
        <f>IF(Introduction!$D$11="SIDA",1-(1+EXP(2*(I21+IF(Introduction!D$12="20q50",Modèles!$H$10,IF(Introduction!D$12="45q15",Modèles!$H$3,Modèles!$H$6)))))/(1+EXP(2*(I21+IF(Introduction!D$12="20q50",Modèles!$H$14,Modèles!$H$12)))),1-(1+EXP(2*(I21+IF(Introduction!D$12="20q50",Modèles!$B$31,IF(Introduction!D$12="45q15",Modèles!$B$24,Modèles!$B$27)))))/(1+EXP(2*(I21+IF(Introduction!D$12="20q50",Modèles!$B$35,Modèles!$B$33)))))</f>
        <v>0.13111113512423922</v>
      </c>
      <c r="K21" s="192">
        <f>U21</f>
        <v>1986.2366048066528</v>
      </c>
      <c r="L21" s="20"/>
      <c r="M21" s="20"/>
      <c r="N21" s="34" t="s">
        <v>37</v>
      </c>
      <c r="O21" s="35">
        <f>7.5</f>
        <v>7.5</v>
      </c>
      <c r="P21" s="32">
        <f t="shared" ref="P21:P29" si="12">D21</f>
        <v>0.98660792132153774</v>
      </c>
      <c r="Q21" s="32">
        <f t="shared" ref="Q21:Q29" si="13">(1-(MBAR+O21)/80)/(1-MBAR/80)</f>
        <v>0.85915364973784403</v>
      </c>
      <c r="R21" s="32">
        <f t="shared" ref="R21:R29" si="14">LN(P21/Q21)/3</f>
        <v>4.6108313737564938E-2</v>
      </c>
      <c r="S21" s="35">
        <f t="shared" ref="S21:S29" si="15">O21/2</f>
        <v>3.75</v>
      </c>
      <c r="T21" s="36">
        <f t="shared" ref="T21:T29" si="16">S21*(1-R21)</f>
        <v>3.5770938234841312</v>
      </c>
      <c r="U21" s="37">
        <f>U$16-T21</f>
        <v>1986.2366048066528</v>
      </c>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row>
    <row r="22" spans="1:60" ht="15" customHeight="1">
      <c r="A22" s="34" t="s">
        <v>5</v>
      </c>
      <c r="B22" s="258">
        <v>1486900</v>
      </c>
      <c r="C22" s="258">
        <v>1451960</v>
      </c>
      <c r="D22" s="145">
        <f t="shared" ref="D22:D29" si="17">C22/B22</f>
        <v>0.97650144596139621</v>
      </c>
      <c r="E22" s="51">
        <f t="shared" si="11"/>
        <v>26.750483870967741</v>
      </c>
      <c r="F22" s="237">
        <v>15</v>
      </c>
      <c r="G22" s="145">
        <f>IF(AND(D22&gt;0,D22&lt;1),Modèles!L5+Modèles!M5*E22+Modèles!N5*D22,NA())</f>
        <v>0.97374863253640953</v>
      </c>
      <c r="H22" s="95">
        <f>IF(Introduction!$D$11="SIDA",Modèles!H29,Modèles!C29)</f>
        <v>0.81376319977144118</v>
      </c>
      <c r="I22" s="96">
        <f>-0.5*LN(1+(G22/H22-1/IF(Introduction!$D$11="SIDA",Modèles!$H$26,Modèles!$C$26))/(1-G22))</f>
        <v>-0.44779151462099992</v>
      </c>
      <c r="J22" s="191">
        <f>IF(Introduction!$D$11="SIDA",1-(1+EXP(2*(I22+IF(Introduction!D$12="20q50",Modèles!$H$10,IF(Introduction!D$12="45q15",Modèles!$H$3,Modèles!$H$6)))))/(1+EXP(2*(I22+IF(Introduction!D$12="20q50",Modèles!$H$14,Modèles!$H$12)))),1-(1+EXP(2*(I22+IF(Introduction!D$12="20q50",Modèles!$B$31,IF(Introduction!D$12="45q15",Modèles!$B$24,Modèles!$B$27)))))/(1+EXP(2*(I22+IF(Introduction!D$12="20q50",Modèles!$B$35,Modèles!$B$33)))))</f>
        <v>0.12195893921697276</v>
      </c>
      <c r="K22" s="192">
        <f>U22</f>
        <v>1984.0715438475954</v>
      </c>
      <c r="L22" s="20"/>
      <c r="M22" s="20"/>
      <c r="N22" s="34" t="s">
        <v>5</v>
      </c>
      <c r="O22" s="35">
        <f>O21+5</f>
        <v>12.5</v>
      </c>
      <c r="P22" s="32">
        <f t="shared" si="12"/>
        <v>0.97650144596139621</v>
      </c>
      <c r="Q22" s="32">
        <f t="shared" si="13"/>
        <v>0.76525608289640679</v>
      </c>
      <c r="R22" s="32">
        <f t="shared" si="14"/>
        <v>8.1255234793351741E-2</v>
      </c>
      <c r="S22" s="35">
        <f t="shared" si="15"/>
        <v>6.25</v>
      </c>
      <c r="T22" s="36">
        <f t="shared" si="16"/>
        <v>5.7421547825415518</v>
      </c>
      <c r="U22" s="37">
        <f t="shared" ref="U22:U29" si="18">U$16-T22</f>
        <v>1984.0715438475954</v>
      </c>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row>
    <row r="23" spans="1:60" ht="15" customHeight="1">
      <c r="A23" s="34" t="s">
        <v>6</v>
      </c>
      <c r="B23" s="258">
        <v>1191120</v>
      </c>
      <c r="C23" s="258">
        <v>1138320</v>
      </c>
      <c r="D23" s="145">
        <f t="shared" si="17"/>
        <v>0.95567197259721948</v>
      </c>
      <c r="E23" s="51">
        <f t="shared" si="11"/>
        <v>26.750483870967741</v>
      </c>
      <c r="F23" s="237">
        <v>20</v>
      </c>
      <c r="G23" s="145">
        <f>IF(AND(D23&gt;0,D23&lt;1),Modèles!L6+Modèles!M6*E23+Modèles!N6*D23,NA())</f>
        <v>0.95405655115857357</v>
      </c>
      <c r="H23" s="95">
        <f>IF(Introduction!$D$11="SIDA",Modèles!H30,Modèles!C30)</f>
        <v>0.78872756141577427</v>
      </c>
      <c r="I23" s="96">
        <f>-0.5*LN(1+(G23/H23-1/IF(Introduction!$D$11="SIDA",Modèles!$H$26,Modèles!$C$26))/(1-G23))</f>
        <v>-0.37360239109371812</v>
      </c>
      <c r="J23" s="191">
        <f>IF(Introduction!$D$11="SIDA",1-(1+EXP(2*(I23+IF(Introduction!D$12="20q50",Modèles!$H$10,IF(Introduction!D$12="45q15",Modèles!$H$3,Modèles!$H$6)))))/(1+EXP(2*(I23+IF(Introduction!D$12="20q50",Modèles!$H$14,Modèles!$H$12)))),1-(1+EXP(2*(I23+IF(Introduction!D$12="20q50",Modèles!$B$31,IF(Introduction!D$12="45q15",Modèles!$B$24,Modèles!$B$27)))))/(1+EXP(2*(I23+IF(Introduction!D$12="20q50",Modèles!$B$35,Modèles!$B$33)))))</f>
        <v>0.13748218190456118</v>
      </c>
      <c r="K23" s="193">
        <f>U23</f>
        <v>1982.0936069789054</v>
      </c>
      <c r="L23" s="20"/>
      <c r="M23" s="20"/>
      <c r="N23" s="34" t="s">
        <v>6</v>
      </c>
      <c r="O23" s="35">
        <f t="shared" ref="O23:O29" si="19">O22+5</f>
        <v>17.5</v>
      </c>
      <c r="P23" s="32">
        <f t="shared" si="12"/>
        <v>0.95567197259721948</v>
      </c>
      <c r="Q23" s="32">
        <f t="shared" si="13"/>
        <v>0.67135851605496943</v>
      </c>
      <c r="R23" s="32">
        <f t="shared" si="14"/>
        <v>0.1177038112878261</v>
      </c>
      <c r="S23" s="35">
        <f t="shared" si="15"/>
        <v>8.75</v>
      </c>
      <c r="T23" s="36">
        <f t="shared" si="16"/>
        <v>7.7200916512315212</v>
      </c>
      <c r="U23" s="37">
        <f t="shared" si="18"/>
        <v>1982.0936069789054</v>
      </c>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row>
    <row r="24" spans="1:60" ht="15" customHeight="1">
      <c r="A24" s="34" t="s">
        <v>7</v>
      </c>
      <c r="B24" s="258">
        <v>1003940</v>
      </c>
      <c r="C24" s="258">
        <v>926960</v>
      </c>
      <c r="D24" s="145">
        <f t="shared" si="17"/>
        <v>0.92332211088312055</v>
      </c>
      <c r="E24" s="51">
        <f t="shared" si="11"/>
        <v>26.750483870967741</v>
      </c>
      <c r="F24" s="237">
        <v>25</v>
      </c>
      <c r="G24" s="145">
        <f>IF(AND(D24&gt;0,D24&lt;1),Modèles!L7+Modèles!M7*E24+Modèles!N7*D24,NA())</f>
        <v>0.92393264672757081</v>
      </c>
      <c r="H24" s="95">
        <f>IF(Introduction!$D$11="SIDA",Modèles!H31,Modèles!C31)</f>
        <v>0.75558816659335271</v>
      </c>
      <c r="I24" s="96">
        <f>-0.5*LN(1+(G24/H24-1/IF(Introduction!$D$11="SIDA",Modèles!$H$26,Modèles!$C$26))/(1-G24))</f>
        <v>-0.30607879174726293</v>
      </c>
      <c r="J24" s="191">
        <f>IF(Introduction!$D$11="SIDA",1-(1+EXP(2*(I24+IF(Introduction!D$12="20q50",Modèles!$H$10,IF(Introduction!D$12="45q15",Modèles!$H$3,Modèles!$H$6)))))/(1+EXP(2*(I24+IF(Introduction!D$12="20q50",Modèles!$H$14,Modèles!$H$12)))),1-(1+EXP(2*(I24+IF(Introduction!D$12="20q50",Modèles!$B$31,IF(Introduction!D$12="45q15",Modèles!$B$24,Modèles!$B$27)))))/(1+EXP(2*(I24+IF(Introduction!D$12="20q50",Modèles!$B$35,Modèles!$B$33)))))</f>
        <v>0.15284700970146126</v>
      </c>
      <c r="K24" s="193">
        <f t="shared" ref="K24:K25" si="20">U24</f>
        <v>1980.3237136418661</v>
      </c>
      <c r="L24" s="20"/>
      <c r="M24" s="20"/>
      <c r="N24" s="34" t="s">
        <v>7</v>
      </c>
      <c r="O24" s="35">
        <f t="shared" si="19"/>
        <v>22.5</v>
      </c>
      <c r="P24" s="32">
        <f t="shared" si="12"/>
        <v>0.92332211088312055</v>
      </c>
      <c r="Q24" s="32">
        <f t="shared" si="13"/>
        <v>0.57746094921353208</v>
      </c>
      <c r="R24" s="32">
        <f t="shared" si="14"/>
        <v>0.15644577882036148</v>
      </c>
      <c r="S24" s="35">
        <f t="shared" si="15"/>
        <v>11.25</v>
      </c>
      <c r="T24" s="36">
        <f t="shared" si="16"/>
        <v>9.4899849882709333</v>
      </c>
      <c r="U24" s="37">
        <f t="shared" si="18"/>
        <v>1980.3237136418661</v>
      </c>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row>
    <row r="25" spans="1:60" ht="15" customHeight="1">
      <c r="A25" s="34" t="s">
        <v>8</v>
      </c>
      <c r="B25" s="258">
        <v>839080</v>
      </c>
      <c r="C25" s="258">
        <v>741640</v>
      </c>
      <c r="D25" s="145">
        <f t="shared" si="17"/>
        <v>0.88387281308099341</v>
      </c>
      <c r="E25" s="51">
        <f t="shared" si="11"/>
        <v>26.750483870967741</v>
      </c>
      <c r="F25" s="237">
        <v>30</v>
      </c>
      <c r="G25" s="145">
        <f>IF(AND(D25&gt;0,D25&lt;1),Modèles!L8+Modèles!M8*E25+Modèles!N8*D25,NA())</f>
        <v>0.88887140994553171</v>
      </c>
      <c r="H25" s="95">
        <f>IF(Introduction!$D$11="SIDA",Modèles!H32,Modèles!C32)</f>
        <v>0.71027415735971011</v>
      </c>
      <c r="I25" s="96">
        <f>-0.5*LN(1+(G25/H25-1/IF(Introduction!$D$11="SIDA",Modèles!$H$26,Modèles!$C$26))/(1-G25))</f>
        <v>-0.3037391366630301</v>
      </c>
      <c r="J25" s="191">
        <f>IF(Introduction!$D$11="SIDA",1-(1+EXP(2*(I25+IF(Introduction!D$12="20q50",Modèles!$H$10,IF(Introduction!D$12="45q15",Modèles!$H$3,Modèles!$H$6)))))/(1+EXP(2*(I25+IF(Introduction!D$12="20q50",Modèles!$H$14,Modèles!$H$12)))),1-(1+EXP(2*(I25+IF(Introduction!D$12="20q50",Modèles!$B$31,IF(Introduction!D$12="45q15",Modèles!$B$24,Modèles!$B$27)))))/(1+EXP(2*(I25+IF(Introduction!D$12="20q50",Modèles!$B$35,Modèles!$B$33)))))</f>
        <v>0.15340053005167575</v>
      </c>
      <c r="K25" s="193">
        <f t="shared" si="20"/>
        <v>1978.8280480322412</v>
      </c>
      <c r="L25" s="20"/>
      <c r="M25" s="20"/>
      <c r="N25" s="34" t="s">
        <v>8</v>
      </c>
      <c r="O25" s="35">
        <f t="shared" si="19"/>
        <v>27.5</v>
      </c>
      <c r="P25" s="32">
        <f t="shared" si="12"/>
        <v>0.88387281308099341</v>
      </c>
      <c r="Q25" s="32">
        <f t="shared" si="13"/>
        <v>0.48356338237209484</v>
      </c>
      <c r="R25" s="32">
        <f t="shared" si="14"/>
        <v>0.20104359288030982</v>
      </c>
      <c r="S25" s="35">
        <f t="shared" si="15"/>
        <v>13.75</v>
      </c>
      <c r="T25" s="36">
        <f t="shared" si="16"/>
        <v>10.98565059789574</v>
      </c>
      <c r="U25" s="37">
        <f t="shared" si="18"/>
        <v>1978.8280480322412</v>
      </c>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row>
    <row r="26" spans="1:60" ht="15" customHeight="1">
      <c r="A26" s="34" t="s">
        <v>9</v>
      </c>
      <c r="B26" s="258">
        <v>572880</v>
      </c>
      <c r="C26" s="258">
        <v>471420</v>
      </c>
      <c r="D26" s="145">
        <f t="shared" si="17"/>
        <v>0.82289484708839544</v>
      </c>
      <c r="E26" s="51">
        <f t="shared" si="11"/>
        <v>26.750483870967741</v>
      </c>
      <c r="F26" s="237">
        <v>35</v>
      </c>
      <c r="G26" s="145">
        <f>IF(AND(D26&gt;0,D26&lt;1),Modèles!L9+Modèles!M9*E26+Modèles!N9*D26,NA())</f>
        <v>0.83404357869710943</v>
      </c>
      <c r="H26" s="95">
        <f>IF(Introduction!$D$11="SIDA",Modèles!H33,Modèles!C33)</f>
        <v>0.64857401363075629</v>
      </c>
      <c r="I26" s="96">
        <f>-0.5*LN(1+(G26/H26-1/IF(Introduction!$D$11="SIDA",Modèles!$H$26,Modèles!$C$26))/(1-G26))</f>
        <v>-0.28482757259578373</v>
      </c>
      <c r="J26" s="191">
        <f>IF(Introduction!$D$11="SIDA",1-(1+EXP(2*(I26+IF(Introduction!D$12="20q50",Modèles!$H$10,IF(Introduction!D$12="45q15",Modèles!$H$3,Modèles!$H$6)))))/(1+EXP(2*(I26+IF(Introduction!D$12="20q50",Modèles!$H$14,Modèles!$H$12)))),1-(1+EXP(2*(I26+IF(Introduction!D$12="20q50",Modèles!$B$31,IF(Introduction!D$12="45q15",Modèles!$B$24,Modèles!$B$27)))))/(1+EXP(2*(I26+IF(Introduction!D$12="20q50",Modèles!$B$35,Modèles!$B$33)))))</f>
        <v>0.15792641207296354</v>
      </c>
      <c r="K26" s="193">
        <f t="shared" ref="K26:K28" si="21">IF(U26&gt;U25,NA(),U26)</f>
        <v>1977.6128678676951</v>
      </c>
      <c r="L26" s="20"/>
      <c r="M26" s="20"/>
      <c r="N26" s="34" t="s">
        <v>9</v>
      </c>
      <c r="O26" s="35">
        <f t="shared" si="19"/>
        <v>32.5</v>
      </c>
      <c r="P26" s="32">
        <f t="shared" si="12"/>
        <v>0.82289484708839544</v>
      </c>
      <c r="Q26" s="32">
        <f t="shared" si="13"/>
        <v>0.38966581553065754</v>
      </c>
      <c r="R26" s="32">
        <f t="shared" si="14"/>
        <v>0.24917964538819429</v>
      </c>
      <c r="S26" s="35">
        <f t="shared" si="15"/>
        <v>16.25</v>
      </c>
      <c r="T26" s="36">
        <f t="shared" si="16"/>
        <v>12.200830762441843</v>
      </c>
      <c r="U26" s="37">
        <f t="shared" si="18"/>
        <v>1977.6128678676951</v>
      </c>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0" ht="15" customHeight="1">
      <c r="A27" s="34" t="s">
        <v>10</v>
      </c>
      <c r="B27" s="258">
        <v>450440</v>
      </c>
      <c r="C27" s="258">
        <v>340220</v>
      </c>
      <c r="D27" s="145">
        <f t="shared" si="17"/>
        <v>0.75530592309741584</v>
      </c>
      <c r="E27" s="51">
        <f t="shared" si="11"/>
        <v>26.750483870967741</v>
      </c>
      <c r="F27" s="237">
        <v>40</v>
      </c>
      <c r="G27" s="145">
        <f>IF(AND(D27&gt;0,D27&lt;1),Modèles!L10+Modèles!M10*E27+Modèles!N10*D27,NA())</f>
        <v>0.77425164459052209</v>
      </c>
      <c r="H27" s="95">
        <f>IF(Introduction!$D$11="SIDA",Modèles!H34,Modèles!C34)</f>
        <v>0.56571082144915019</v>
      </c>
      <c r="I27" s="96">
        <f>-0.5*LN(1+(G27/H27-1/IF(Introduction!$D$11="SIDA",Modèles!$H$26,Modèles!$C$26))/(1-G27))</f>
        <v>-0.32889949901774501</v>
      </c>
      <c r="J27" s="191">
        <f>IF(Introduction!$D$11="SIDA",1-(1+EXP(2*(I27+IF(Introduction!D$12="20q50",Modèles!$H$10,IF(Introduction!D$12="45q15",Modèles!$H$3,Modèles!$H$6)))))/(1+EXP(2*(I27+IF(Introduction!D$12="20q50",Modèles!$H$14,Modèles!$H$12)))),1-(1+EXP(2*(I27+IF(Introduction!D$12="20q50",Modèles!$B$31,IF(Introduction!D$12="45q15",Modèles!$B$24,Modèles!$B$27)))))/(1+EXP(2*(I27+IF(Introduction!D$12="20q50",Modèles!$B$35,Modèles!$B$33)))))</f>
        <v>0.14752218119947447</v>
      </c>
      <c r="K27" s="193">
        <f t="shared" si="21"/>
        <v>1976.9233652506907</v>
      </c>
      <c r="L27" s="20"/>
      <c r="M27" s="20"/>
      <c r="N27" s="34" t="s">
        <v>10</v>
      </c>
      <c r="O27" s="35">
        <f t="shared" si="19"/>
        <v>37.5</v>
      </c>
      <c r="P27" s="32">
        <f t="shared" si="12"/>
        <v>0.75530592309741584</v>
      </c>
      <c r="Q27" s="32">
        <f t="shared" si="13"/>
        <v>0.29576824868922019</v>
      </c>
      <c r="R27" s="32">
        <f t="shared" si="14"/>
        <v>0.31251555309620588</v>
      </c>
      <c r="S27" s="35">
        <f t="shared" si="15"/>
        <v>18.75</v>
      </c>
      <c r="T27" s="36">
        <f t="shared" si="16"/>
        <v>12.89033337944614</v>
      </c>
      <c r="U27" s="37">
        <f t="shared" si="18"/>
        <v>1976.9233652506907</v>
      </c>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row>
    <row r="28" spans="1:60" ht="15" customHeight="1">
      <c r="A28" s="34" t="s">
        <v>11</v>
      </c>
      <c r="B28" s="258">
        <v>361820</v>
      </c>
      <c r="C28" s="258">
        <v>226440</v>
      </c>
      <c r="D28" s="145">
        <f t="shared" si="17"/>
        <v>0.62583605107512019</v>
      </c>
      <c r="E28" s="51">
        <f t="shared" si="11"/>
        <v>26.750483870967741</v>
      </c>
      <c r="F28" s="237">
        <v>45</v>
      </c>
      <c r="G28" s="145">
        <f>IF(AND(D28&gt;0,D28&lt;1),Modèles!L11+Modèles!M11*E28+Modèles!N11*D28,NA())</f>
        <v>0.64418906345036997</v>
      </c>
      <c r="H28" s="95">
        <f>IF(Introduction!$D$11="SIDA",Modèles!H35,Modèles!C35)</f>
        <v>0.45955087928190458</v>
      </c>
      <c r="I28" s="96">
        <f>-0.5*LN(1+(G28/H28-1/IF(Introduction!$D$11="SIDA",Modèles!$H$26,Modèles!$C$26))/(1-G28))</f>
        <v>-0.26045031549406517</v>
      </c>
      <c r="J28" s="191">
        <f>IF(Introduction!$D$11="SIDA",1-(1+EXP(2*(I28+IF(Introduction!D$12="20q50",Modèles!$H$10,IF(Introduction!D$12="45q15",Modèles!$H$3,Modèles!$H$6)))))/(1+EXP(2*(I28+IF(Introduction!D$12="20q50",Modèles!$H$14,Modèles!$H$12)))),1-(1+EXP(2*(I28+IF(Introduction!D$12="20q50",Modèles!$B$31,IF(Introduction!D$12="45q15",Modèles!$B$24,Modèles!$B$27)))))/(1+EXP(2*(I28+IF(Introduction!D$12="20q50",Modèles!$B$35,Modèles!$B$33)))))</f>
        <v>0.16389564036353022</v>
      </c>
      <c r="K28" s="193">
        <f t="shared" si="21"/>
        <v>1976.5782149962326</v>
      </c>
      <c r="L28" s="20"/>
      <c r="M28" s="20"/>
      <c r="N28" s="34" t="s">
        <v>11</v>
      </c>
      <c r="O28" s="35">
        <f t="shared" si="19"/>
        <v>42.5</v>
      </c>
      <c r="P28" s="32">
        <f t="shared" si="12"/>
        <v>0.62583605107512019</v>
      </c>
      <c r="Q28" s="32">
        <f t="shared" si="13"/>
        <v>0.20187068184778292</v>
      </c>
      <c r="R28" s="32">
        <f t="shared" si="14"/>
        <v>0.37715371134567838</v>
      </c>
      <c r="S28" s="35">
        <f t="shared" si="15"/>
        <v>21.25</v>
      </c>
      <c r="T28" s="36">
        <f t="shared" si="16"/>
        <v>13.235483633904334</v>
      </c>
      <c r="U28" s="37">
        <f t="shared" si="18"/>
        <v>1976.5782149962326</v>
      </c>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row>
    <row r="29" spans="1:60" ht="15" customHeight="1">
      <c r="A29" s="38" t="s">
        <v>12</v>
      </c>
      <c r="B29" s="188">
        <v>291340</v>
      </c>
      <c r="C29" s="188">
        <v>155440</v>
      </c>
      <c r="D29" s="146">
        <f t="shared" si="17"/>
        <v>0.53353470172307271</v>
      </c>
      <c r="E29" s="41">
        <f t="shared" si="11"/>
        <v>26.750483870967741</v>
      </c>
      <c r="F29" s="238">
        <v>50</v>
      </c>
      <c r="G29" s="146">
        <f>IF(AND(D29&gt;0,D29&lt;1),Modèles!L12+Modèles!M12*E29+Modèles!N12*D29,NA())</f>
        <v>0.54554249080123651</v>
      </c>
      <c r="H29" s="33">
        <f>IF(Introduction!$D$11="SIDA",Modèles!H36,Modèles!C36)</f>
        <v>0.33555954367971813</v>
      </c>
      <c r="I29" s="40">
        <f>-0.5*LN(1+(G29/H29-1/IF(Introduction!$D$11="SIDA",Modèles!$H$26,Modèles!$C$26))/(1-G29))</f>
        <v>-0.35353576082400817</v>
      </c>
      <c r="J29" s="194">
        <f>IF(Introduction!$D$11="SIDA",1-(1+EXP(2*(I29+IF(Introduction!D$12="20q50",Modèles!$H$10,IF(Introduction!D$12="45q15",Modèles!$H$3,Modèles!$H$6)))))/(1+EXP(2*(I29+IF(Introduction!D$12="20q50",Modèles!$H$14,Modèles!$H$12)))),1-(1+EXP(2*(I29+IF(Introduction!D$12="20q50",Modèles!$B$31,IF(Introduction!D$12="45q15",Modèles!$B$24,Modèles!$B$27)))))/(1+EXP(2*(I29+IF(Introduction!D$12="20q50",Modèles!$B$35,Modèles!$B$33)))))</f>
        <v>0.14192499428332428</v>
      </c>
      <c r="K29" s="195" t="e">
        <f>IF(U29&gt;U28,NA(),U29)</f>
        <v>#N/A</v>
      </c>
      <c r="L29" s="20"/>
      <c r="M29" s="20"/>
      <c r="N29" s="38" t="s">
        <v>12</v>
      </c>
      <c r="O29" s="39">
        <f t="shared" si="19"/>
        <v>47.5</v>
      </c>
      <c r="P29" s="33">
        <f t="shared" si="12"/>
        <v>0.53353470172307271</v>
      </c>
      <c r="Q29" s="33">
        <f t="shared" si="13"/>
        <v>0.1079731150063456</v>
      </c>
      <c r="R29" s="33">
        <f t="shared" si="14"/>
        <v>0.5325472843407405</v>
      </c>
      <c r="S29" s="39">
        <f t="shared" si="15"/>
        <v>23.75</v>
      </c>
      <c r="T29" s="40">
        <f t="shared" si="16"/>
        <v>11.102001996907413</v>
      </c>
      <c r="U29" s="41">
        <f t="shared" si="18"/>
        <v>1978.7116966332296</v>
      </c>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row>
    <row r="30" spans="1:60" ht="15" customHeight="1">
      <c r="A30" s="29"/>
      <c r="B30" s="151"/>
      <c r="D30" s="119"/>
      <c r="E30" s="119"/>
      <c r="F30" s="119"/>
      <c r="G30" s="29"/>
      <c r="H30" s="119"/>
      <c r="I30" s="119"/>
      <c r="J30" s="119"/>
      <c r="K30" s="119"/>
      <c r="L30" s="119"/>
      <c r="M30" s="119"/>
      <c r="N30" s="169"/>
      <c r="O30" s="169"/>
      <c r="P30" s="6"/>
      <c r="Q30" s="169"/>
      <c r="R30" s="169"/>
      <c r="S30" s="6"/>
      <c r="T30" s="169"/>
      <c r="U30" s="16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119"/>
      <c r="BH30" s="119"/>
    </row>
    <row r="31" spans="1:60" ht="15" customHeight="1">
      <c r="A31" s="15" t="s">
        <v>117</v>
      </c>
      <c r="B31" s="151"/>
      <c r="D31" s="119"/>
      <c r="E31" s="119"/>
      <c r="F31" s="119"/>
      <c r="G31" s="15"/>
      <c r="H31" s="170" t="s">
        <v>124</v>
      </c>
      <c r="I31" s="119"/>
      <c r="J31" s="119"/>
      <c r="L31" s="117" t="s">
        <v>46</v>
      </c>
      <c r="M31" s="190">
        <f>SQRT(B34*C34)</f>
        <v>1994.7227116797208</v>
      </c>
      <c r="O31" s="296" t="s">
        <v>145</v>
      </c>
      <c r="P31" s="297"/>
      <c r="Q31" s="297"/>
      <c r="R31" s="297"/>
      <c r="S31" s="298"/>
      <c r="T31" s="242" t="s">
        <v>82</v>
      </c>
      <c r="U31" s="243" t="s">
        <v>83</v>
      </c>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c r="BG31" s="119"/>
      <c r="BH31" s="119"/>
    </row>
    <row r="32" spans="1:60" ht="15" customHeight="1">
      <c r="A32" s="141"/>
      <c r="B32" s="142"/>
      <c r="C32" s="161"/>
      <c r="D32" s="168"/>
      <c r="E32" s="168"/>
      <c r="F32" s="168"/>
      <c r="G32" s="141"/>
      <c r="H32" s="171"/>
      <c r="I32" s="168"/>
      <c r="J32" s="205" t="s">
        <v>127</v>
      </c>
      <c r="K32" s="42" t="s">
        <v>78</v>
      </c>
      <c r="L32" s="205" t="s">
        <v>129</v>
      </c>
      <c r="M32" s="294" t="s">
        <v>183</v>
      </c>
      <c r="O32" s="229"/>
      <c r="P32" s="278" t="s">
        <v>147</v>
      </c>
      <c r="Q32" s="199">
        <v>20</v>
      </c>
      <c r="R32" s="228" t="s">
        <v>80</v>
      </c>
      <c r="S32" s="95">
        <f ca="1">INTERCEPT(INDIRECT(ADDRESS(ROW($K$35)+MATCH(TEXT($Q$32,"00")&amp;"-"&amp;TEXT($Q$32+4,"00"),$A$36:$A$41),COLUMN($K$35))):INDIRECT(ADDRESS(ROW($K$35)+MATCH(TEXT($Q$33-4,"00")&amp;"-"&amp;TEXT($Q$33,"00"),$A$36:$A$41),COLUMN($K$35))),INDIRECT(ADDRESS(ROW(Modèles!$E$31)+($Q$32-20)/5,COLUMN(Modèles!$E$31),,,"Modèles")):INDIRECT(ADDRESS(ROW(Modèles!$E$31)+($Q$33-24)/5,COLUMN(Modèles!$E$31),,,"Modèles")))</f>
        <v>-0.33976495500315673</v>
      </c>
      <c r="T32" s="252">
        <f>Modèles!E31</f>
        <v>-1.5633868619875475</v>
      </c>
      <c r="U32" s="253">
        <f ca="1">$S$32+$S$33*T32</f>
        <v>-1.6837658712013206</v>
      </c>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19"/>
    </row>
    <row r="33" spans="1:58" s="119" customFormat="1" ht="15" customHeight="1">
      <c r="A33" s="155" t="s">
        <v>118</v>
      </c>
      <c r="B33" s="140"/>
      <c r="C33" s="172"/>
      <c r="D33" s="172" t="s">
        <v>2</v>
      </c>
      <c r="E33" s="301" t="s">
        <v>122</v>
      </c>
      <c r="F33" s="206"/>
      <c r="G33" s="157" t="s">
        <v>125</v>
      </c>
      <c r="H33" s="299" t="s">
        <v>81</v>
      </c>
      <c r="I33" s="172" t="s">
        <v>126</v>
      </c>
      <c r="J33" s="138" t="s">
        <v>52</v>
      </c>
      <c r="K33" s="155" t="s">
        <v>128</v>
      </c>
      <c r="L33" s="138" t="s">
        <v>52</v>
      </c>
      <c r="M33" s="295"/>
      <c r="O33" s="230"/>
      <c r="P33" s="279" t="s">
        <v>146</v>
      </c>
      <c r="Q33" s="188">
        <v>44</v>
      </c>
      <c r="R33" s="231" t="s">
        <v>79</v>
      </c>
      <c r="S33" s="64">
        <f ca="1">SLOPE(INDIRECT(ADDRESS(ROW($K$35)+MATCH(TEXT($Q$32,"00")&amp;"-"&amp;TEXT($Q$32+4,"00"),$A$36:$A$41),COLUMN($K$35))):INDIRECT(ADDRESS(ROW($K$35)+MATCH(TEXT($Q$33-4,"00")&amp;"-"&amp;TEXT($Q$33,"00"),$A$36:$A$41),COLUMN($K$35))),INDIRECT(ADDRESS(ROW(Modèles!$E$31)+($Q$32-20)/5,COLUMN(Modèles!$E$31),,,"Modèles")):INDIRECT(ADDRESS(ROW(Modèles!$E$31)+($Q$33-24)/5,COLUMN(Modèles!$E$31),,,"Modèles")))</f>
        <v>0.85967264333379623</v>
      </c>
      <c r="T33" s="254">
        <f>Modèles!E36</f>
        <v>0.15023176934794785</v>
      </c>
      <c r="U33" s="232">
        <f ca="1">$S$32+$S$33*T33</f>
        <v>-0.21061481273509322</v>
      </c>
    </row>
    <row r="34" spans="1:58" s="119" customFormat="1" ht="15" customHeight="1">
      <c r="A34" s="283" t="s">
        <v>119</v>
      </c>
      <c r="B34" s="122">
        <f>U16</f>
        <v>1989.813698630137</v>
      </c>
      <c r="C34" s="122">
        <f>U1</f>
        <v>1999.6438356164383</v>
      </c>
      <c r="D34" s="46" t="s">
        <v>58</v>
      </c>
      <c r="E34" s="302"/>
      <c r="F34" s="235" t="s">
        <v>13</v>
      </c>
      <c r="G34" s="158" t="s">
        <v>59</v>
      </c>
      <c r="H34" s="300"/>
      <c r="I34" s="46" t="s">
        <v>58</v>
      </c>
      <c r="J34" s="45" t="s">
        <v>61</v>
      </c>
      <c r="K34" s="209" t="s">
        <v>29</v>
      </c>
      <c r="L34" s="45" t="s">
        <v>61</v>
      </c>
      <c r="M34" s="123" t="str">
        <f>Introduction!$D$12</f>
        <v>30q30</v>
      </c>
      <c r="T34" s="169"/>
    </row>
    <row r="35" spans="1:58" s="119" customFormat="1" ht="15" customHeight="1">
      <c r="A35" s="69" t="s">
        <v>6</v>
      </c>
      <c r="B35" s="63">
        <f>D23</f>
        <v>0.95567197259721948</v>
      </c>
      <c r="C35" s="63">
        <f>D8</f>
        <v>0.93357639012998772</v>
      </c>
      <c r="D35" s="63">
        <f t="shared" ref="D35:D41" si="22">SQRT(B35*C35)</f>
        <v>0.94455957478907426</v>
      </c>
      <c r="E35" s="63"/>
      <c r="F35" s="63"/>
      <c r="G35" s="69"/>
      <c r="H35" s="78" t="s">
        <v>77</v>
      </c>
      <c r="I35" s="63">
        <f>SQRT(D35*D36)</f>
        <v>0.92998012265763419</v>
      </c>
      <c r="J35" s="79" t="s">
        <v>45</v>
      </c>
      <c r="K35" s="63"/>
      <c r="L35" s="63"/>
      <c r="M35" s="63"/>
      <c r="T35" s="169"/>
    </row>
    <row r="36" spans="1:58" s="119" customFormat="1" ht="15" customHeight="1">
      <c r="A36" s="69" t="s">
        <v>7</v>
      </c>
      <c r="B36" s="63">
        <f t="shared" ref="B36:B41" si="23">D24</f>
        <v>0.92332211088312055</v>
      </c>
      <c r="C36" s="63">
        <f t="shared" ref="C36:C41" si="24">D9</f>
        <v>0.90799345707217494</v>
      </c>
      <c r="D36" s="63">
        <f t="shared" si="22"/>
        <v>0.91562570707246016</v>
      </c>
      <c r="E36" s="37">
        <f>AVERAGE(E9,E24)</f>
        <v>26.750483870967741</v>
      </c>
      <c r="F36" s="237">
        <v>25</v>
      </c>
      <c r="G36" s="147">
        <f>LN(C36/B36)/(C$34-B$34)</f>
        <v>-1.7030264661467925E-3</v>
      </c>
      <c r="H36" s="63">
        <f>EXP(2.5*G36)</f>
        <v>0.99575148442041406</v>
      </c>
      <c r="I36" s="63">
        <f t="shared" ref="I36:I41" si="25">D36*H36/I$35</f>
        <v>0.98038187567428547</v>
      </c>
      <c r="J36" s="63">
        <f>(Modèles!L17+Modèles!M17*E36+Modèles!N17*I36)</f>
        <v>0.96687148104506715</v>
      </c>
      <c r="K36" s="80">
        <f>-0.5*LN($J36/(1-$J36))</f>
        <v>-1.6868355352705149</v>
      </c>
      <c r="L36" s="233">
        <f ca="1">1/(1+EXP(2*($S$32+$S$33*Modèles!E31)))</f>
        <v>0.96667426745214102</v>
      </c>
      <c r="M36" s="118">
        <f>IF(Introduction!$D$11="SIDA",1-(1+EXP(2*(-0.5*LN(1+(J36/Modèles!H31-1/Modèles!$H$30)/(1-J36))+IF(Introduction!D$12="20q50",Modèles!$H$10,IF(Introduction!D$12="45q15",Modèles!$H$3,Modèles!$H$6)))))/(1+EXP(2*(-0.5*LN(1+(J36/Modèles!H31-1/Modèles!$H$30)/(1-J36))+IF(Introduction!D$12="20q50",Modèles!$H$14,Modèles!$H$12)))),1-(1+EXP(2*(-0.5*LN(1+(J36/Modèles!C31-1/Modèles!$C$30)/(1-J36))+IF(Introduction!D$12="20q50",Modèles!$B$31,IF(Introduction!D$12="45q15",Modèles!$B$24,Modèles!$B$27)))))/(1+EXP(2*(-0.5*LN(1+(J36/Modèles!C31-1/Modèles!$C$30)/(1-J36))+IF(Introduction!D$12="20q50",Modèles!$B$35,Modèles!$B$33)))))</f>
        <v>0.19227686267774802</v>
      </c>
      <c r="T36" s="169"/>
    </row>
    <row r="37" spans="1:58" s="119" customFormat="1" ht="15" customHeight="1">
      <c r="A37" s="69" t="s">
        <v>8</v>
      </c>
      <c r="B37" s="63">
        <f t="shared" si="23"/>
        <v>0.88387281308099341</v>
      </c>
      <c r="C37" s="63">
        <f t="shared" si="24"/>
        <v>0.87709853249475889</v>
      </c>
      <c r="D37" s="63">
        <f t="shared" si="22"/>
        <v>0.88047915776885577</v>
      </c>
      <c r="E37" s="37">
        <f t="shared" ref="E37:E41" si="26">AVERAGE(E10,E25)</f>
        <v>26.750483870967741</v>
      </c>
      <c r="F37" s="237">
        <v>30</v>
      </c>
      <c r="G37" s="147">
        <f t="shared" ref="G37:G41" si="27">LN(C37/B37)/(C$34-B$34)</f>
        <v>-7.8267860044200274E-4</v>
      </c>
      <c r="H37" s="63">
        <f>H36*EXP(2.5*(G36+G37))</f>
        <v>0.98958280987897551</v>
      </c>
      <c r="I37" s="63">
        <f t="shared" si="25"/>
        <v>0.93690931424944424</v>
      </c>
      <c r="J37" s="63">
        <f>(Modèles!L18+Modèles!M18*E37+Modèles!N18*I37)</f>
        <v>0.92953580033155059</v>
      </c>
      <c r="K37" s="80">
        <f t="shared" ref="K37:K41" si="28">-0.5*LN($J37/(1-$J37))</f>
        <v>-1.2897902736937825</v>
      </c>
      <c r="L37" s="233">
        <f ca="1">1/(1+EXP(2*($S$32+$S$33*Modèles!E32)))</f>
        <v>0.92913743671135596</v>
      </c>
      <c r="M37" s="118">
        <f>IF(Introduction!$D$11="SIDA",1-(1+EXP(2*(-0.5*LN(1+(J37/Modèles!H32-1/Modèles!$H$30)/(1-J37))+IF(Introduction!D$12="20q50",Modèles!$H$10,IF(Introduction!D$12="45q15",Modèles!$H$3,Modèles!$H$6)))))/(1+EXP(2*(-0.5*LN(1+(J37/Modèles!H32-1/Modèles!$H$30)/(1-J37))+IF(Introduction!D$12="20q50",Modèles!$H$14,Modèles!$H$12)))),1-(1+EXP(2*(-0.5*LN(1+(J37/Modèles!C32-1/Modèles!$C$30)/(1-J37))+IF(Introduction!D$12="20q50",Modèles!$B$31,IF(Introduction!D$12="45q15",Modèles!$B$24,Modèles!$B$27)))))/(1+EXP(2*(-0.5*LN(1+(J37/Modèles!C32-1/Modèles!$C$30)/(1-J37))+IF(Introduction!D$12="20q50",Modèles!$B$35,Modèles!$B$33)))))</f>
        <v>0.17193278401134815</v>
      </c>
      <c r="T37" s="169"/>
    </row>
    <row r="38" spans="1:58" s="119" customFormat="1" ht="15" customHeight="1">
      <c r="A38" s="69" t="s">
        <v>9</v>
      </c>
      <c r="B38" s="63">
        <f t="shared" si="23"/>
        <v>0.82289484708839544</v>
      </c>
      <c r="C38" s="63">
        <f t="shared" si="24"/>
        <v>0.82438699550503014</v>
      </c>
      <c r="D38" s="63">
        <f t="shared" si="22"/>
        <v>0.82364058339045776</v>
      </c>
      <c r="E38" s="37">
        <f t="shared" si="26"/>
        <v>26.750483870967741</v>
      </c>
      <c r="F38" s="237">
        <v>35</v>
      </c>
      <c r="G38" s="147">
        <f t="shared" si="27"/>
        <v>1.842954679680512E-4</v>
      </c>
      <c r="H38" s="63">
        <f>H37*EXP(2.5*(G37+G38))</f>
        <v>0.98810354246163956</v>
      </c>
      <c r="I38" s="63">
        <f t="shared" si="25"/>
        <v>0.87511782062345556</v>
      </c>
      <c r="J38" s="63">
        <f>(Modèles!L19+Modèles!M19*E38+Modèles!N19*I38)</f>
        <v>0.87446154706061208</v>
      </c>
      <c r="K38" s="80">
        <f t="shared" si="28"/>
        <v>-0.97049810629198663</v>
      </c>
      <c r="L38" s="233">
        <f ca="1">1/(1+EXP(2*($S$32+$S$33*Modèles!E33)))</f>
        <v>0.88043760238997482</v>
      </c>
      <c r="M38" s="118">
        <f>IF(Introduction!$D$11="SIDA",1-(1+EXP(2*(-0.5*LN(1+(J38/Modèles!H33-1/Modèles!$H$30)/(1-J38))+IF(Introduction!D$12="20q50",Modèles!$H$10,IF(Introduction!D$12="45q15",Modèles!$H$3,Modèles!$H$6)))))/(1+EXP(2*(-0.5*LN(1+(J38/Modèles!H33-1/Modèles!$H$30)/(1-J38))+IF(Introduction!D$12="20q50",Modèles!$H$14,Modèles!$H$12)))),1-(1+EXP(2*(-0.5*LN(1+(J38/Modèles!C33-1/Modèles!$C$30)/(1-J38))+IF(Introduction!D$12="20q50",Modèles!$B$31,IF(Introduction!D$12="45q15",Modèles!$B$24,Modèles!$B$27)))))/(1+EXP(2*(-0.5*LN(1+(J38/Modèles!C33-1/Modèles!$C$30)/(1-J38))+IF(Introduction!D$12="20q50",Modèles!$B$35,Modèles!$B$33)))))</f>
        <v>0.167121468423159</v>
      </c>
      <c r="T38" s="169"/>
    </row>
    <row r="39" spans="1:58" s="119" customFormat="1" ht="15" customHeight="1">
      <c r="A39" s="69" t="s">
        <v>10</v>
      </c>
      <c r="B39" s="63">
        <f t="shared" si="23"/>
        <v>0.75530592309741584</v>
      </c>
      <c r="C39" s="63">
        <f t="shared" si="24"/>
        <v>0.7690895435199866</v>
      </c>
      <c r="D39" s="63">
        <f t="shared" si="22"/>
        <v>0.76216657471509053</v>
      </c>
      <c r="E39" s="37">
        <f t="shared" si="26"/>
        <v>26.750483870967741</v>
      </c>
      <c r="F39" s="237">
        <v>40</v>
      </c>
      <c r="G39" s="147">
        <f t="shared" si="27"/>
        <v>1.8397038541523231E-3</v>
      </c>
      <c r="H39" s="63">
        <f>H38*EXP(2.5*(G38+G39))</f>
        <v>0.99311601556990592</v>
      </c>
      <c r="I39" s="63">
        <f t="shared" si="25"/>
        <v>0.81390968843348988</v>
      </c>
      <c r="J39" s="63">
        <f>(Modèles!L20+Modèles!M20*E39+Modèles!N20*I39)</f>
        <v>0.82398491031897625</v>
      </c>
      <c r="K39" s="80">
        <f t="shared" si="28"/>
        <v>-0.77179124441757196</v>
      </c>
      <c r="L39" s="233">
        <f ca="1">1/(1+EXP(2*($S$32+$S$33*Modèles!E34)))</f>
        <v>0.8145339590838564</v>
      </c>
      <c r="M39" s="118">
        <f>IF(Introduction!$D$11="SIDA",1-(1+EXP(2*(-0.5*LN(1+(J39/Modèles!H34-1/Modèles!$H$30)/(1-J39))+IF(Introduction!D$12="20q50",Modèles!$H$10,IF(Introduction!D$12="45q15",Modèles!$H$3,Modèles!$H$6)))))/(1+EXP(2*(-0.5*LN(1+(J39/Modèles!H34-1/Modèles!$H$30)/(1-J39))+IF(Introduction!D$12="20q50",Modèles!$H$14,Modèles!$H$12)))),1-(1+EXP(2*(-0.5*LN(1+(J39/Modèles!C34-1/Modèles!$C$30)/(1-J39))+IF(Introduction!D$12="20q50",Modèles!$B$31,IF(Introduction!D$12="45q15",Modèles!$B$24,Modèles!$B$27)))))/(1+EXP(2*(-0.5*LN(1+(J39/Modèles!C34-1/Modèles!$C$30)/(1-J39))+IF(Introduction!D$12="20q50",Modèles!$B$35,Modèles!$B$33)))))</f>
        <v>0.13953984090962601</v>
      </c>
      <c r="T39" s="169"/>
    </row>
    <row r="40" spans="1:58" s="119" customFormat="1" ht="15" customHeight="1">
      <c r="A40" s="69" t="s">
        <v>11</v>
      </c>
      <c r="B40" s="63">
        <f t="shared" si="23"/>
        <v>0.62583605107512019</v>
      </c>
      <c r="C40" s="63">
        <f t="shared" si="24"/>
        <v>0.66853495251440131</v>
      </c>
      <c r="D40" s="63">
        <f t="shared" si="22"/>
        <v>0.64683326652801798</v>
      </c>
      <c r="E40" s="37">
        <f t="shared" si="26"/>
        <v>26.750483870967741</v>
      </c>
      <c r="F40" s="237">
        <v>45</v>
      </c>
      <c r="G40" s="147">
        <f t="shared" si="27"/>
        <v>6.7140715025196043E-3</v>
      </c>
      <c r="H40" s="63">
        <f>H39*EXP(2.5*(G39+G40))</f>
        <v>1.0145819442208652</v>
      </c>
      <c r="I40" s="63">
        <f t="shared" si="25"/>
        <v>0.70567675281628484</v>
      </c>
      <c r="J40" s="63">
        <f>(Modèles!L21+Modèles!M21*E40+Modèles!N21*I40)</f>
        <v>0.72029085908535206</v>
      </c>
      <c r="K40" s="80">
        <f t="shared" si="28"/>
        <v>-0.47295241028726803</v>
      </c>
      <c r="L40" s="233">
        <f ca="1">1/(1+EXP(2*($S$32+$S$33*Modèles!E35)))</f>
        <v>0.72439417506722736</v>
      </c>
      <c r="M40" s="118">
        <f>IF(Introduction!$D$11="SIDA",1-(1+EXP(2*(-0.5*LN(1+(J40/Modèles!H35-1/Modèles!$H$30)/(1-J40))+IF(Introduction!D$12="20q50",Modèles!$H$10,IF(Introduction!D$12="45q15",Modèles!$H$3,Modèles!$H$6)))))/(1+EXP(2*(-0.5*LN(1+(J40/Modèles!H35-1/Modèles!$H$30)/(1-J40))+IF(Introduction!D$12="20q50",Modèles!$H$14,Modèles!$H$12)))),1-(1+EXP(2*(-0.5*LN(1+(J40/Modèles!C35-1/Modèles!$C$30)/(1-J40))+IF(Introduction!D$12="20q50",Modèles!$B$31,IF(Introduction!D$12="45q15",Modèles!$B$24,Modèles!$B$27)))))/(1+EXP(2*(-0.5*LN(1+(J40/Modèles!C35-1/Modèles!$C$30)/(1-J40))+IF(Introduction!D$12="20q50",Modèles!$B$35,Modèles!$B$33)))))</f>
        <v>0.1396018727088687</v>
      </c>
      <c r="T40" s="169"/>
    </row>
    <row r="41" spans="1:58" s="119" customFormat="1" ht="15" customHeight="1">
      <c r="A41" s="159" t="s">
        <v>12</v>
      </c>
      <c r="B41" s="64">
        <f t="shared" si="23"/>
        <v>0.53353470172307271</v>
      </c>
      <c r="C41" s="64">
        <f t="shared" si="24"/>
        <v>0.56533939716483628</v>
      </c>
      <c r="D41" s="64">
        <f t="shared" si="22"/>
        <v>0.54920687053117123</v>
      </c>
      <c r="E41" s="41">
        <f t="shared" si="26"/>
        <v>26.750483870967741</v>
      </c>
      <c r="F41" s="238">
        <v>50</v>
      </c>
      <c r="G41" s="148">
        <f t="shared" si="27"/>
        <v>5.8902678358834937E-3</v>
      </c>
      <c r="H41" s="64">
        <f>H40*EXP(2.5*(G40+G41))</f>
        <v>1.0470613209123261</v>
      </c>
      <c r="I41" s="64">
        <f t="shared" si="25"/>
        <v>0.61835006717040863</v>
      </c>
      <c r="J41" s="64">
        <f>(Modèles!L22+Modèles!M22*E41+Modèles!N22*I41)</f>
        <v>0.63294199696125109</v>
      </c>
      <c r="K41" s="66">
        <f t="shared" si="28"/>
        <v>-0.27242945198965257</v>
      </c>
      <c r="L41" s="234">
        <f ca="1">1/(1+EXP(2*($S$32+$S$33*Modèles!E36)))</f>
        <v>0.60377745096706192</v>
      </c>
      <c r="M41" s="120">
        <f>IF(Introduction!$D$11="SIDA",1-(1+EXP(2*(-0.5*LN(1+(J41/Modèles!H36-1/Modèles!$H$30)/(1-J41))+IF(Introduction!D$12="20q50",Modèles!$H$10,IF(Introduction!D$12="45q15",Modèles!$H$3,Modèles!$H$6)))))/(1+EXP(2*(-0.5*LN(1+(J41/Modèles!H36-1/Modèles!$H$30)/(1-J41))+IF(Introduction!D$12="20q50",Modèles!$H$14,Modèles!$H$12)))),1-(1+EXP(2*(-0.5*LN(1+(J41/Modèles!C36-1/Modèles!$C$30)/(1-J41))+IF(Introduction!D$12="20q50",Modèles!$B$31,IF(Introduction!D$12="45q15",Modèles!$B$24,Modèles!$B$27)))))/(1+EXP(2*(-0.5*LN(1+(J41/Modèles!C36-1/Modèles!$C$30)/(1-J41))+IF(Introduction!D$12="20q50",Modèles!$B$35,Modèles!$B$33)))))</f>
        <v>0.11304265712289085</v>
      </c>
      <c r="N41" s="169"/>
      <c r="T41" s="169"/>
      <c r="U41" s="169"/>
    </row>
    <row r="42" spans="1:58" s="119" customFormat="1" ht="15" customHeight="1">
      <c r="A42" s="29"/>
      <c r="B42" s="151"/>
      <c r="G42" s="29"/>
      <c r="L42" s="241" t="str">
        <f>"Moyenne des valeurs de "&amp;Introduction!D12&amp;" sur les différents points ajustés"</f>
        <v>Moyenne des valeurs de 30q30 sur les différents points ajustés</v>
      </c>
      <c r="M42" s="189">
        <f ca="1">5*SUM((INDIRECT(ADDRESS(ROW($M$35)+MATCH(TEXT($Q$32,"00")&amp;"-"&amp;TEXT($Q$32+4,"00"),$A$36:$A$41),COLUMN($M$35))):INDIRECT(ADDRESS(ROW($M$35)+MATCH(TEXT($Q$33-4,"00")&amp;"-"&amp;TEXT($Q$33,"00"),$A$36:$A$41),COLUMN($M$35)))))/($Q$33+1-$Q$32)</f>
        <v>0.16209456574614997</v>
      </c>
      <c r="N42" s="169"/>
      <c r="T42" s="169"/>
      <c r="U42" s="169"/>
    </row>
    <row r="43" spans="1:58" s="119" customFormat="1" ht="15" customHeight="1">
      <c r="A43" s="29"/>
      <c r="B43" s="151"/>
      <c r="L43" s="173"/>
      <c r="M43" s="173"/>
      <c r="N43" s="160"/>
      <c r="O43" s="160"/>
      <c r="P43" s="160"/>
      <c r="Q43" s="160"/>
      <c r="R43" s="160"/>
      <c r="S43" s="160"/>
      <c r="U43" s="169"/>
    </row>
    <row r="44" spans="1:58" ht="15" customHeight="1">
      <c r="A44" s="26" t="s">
        <v>130</v>
      </c>
      <c r="E44" s="22"/>
      <c r="F44" s="22"/>
      <c r="L44" s="119"/>
      <c r="M44" s="119"/>
      <c r="O44" s="201"/>
      <c r="T44" s="4"/>
      <c r="U44" s="22"/>
      <c r="V44" s="169"/>
      <c r="W44" s="169"/>
      <c r="X44" s="169"/>
      <c r="Y44" s="169"/>
      <c r="Z44" s="16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row>
    <row r="45" spans="1:58" ht="15" customHeight="1">
      <c r="A45" s="4"/>
      <c r="B45" s="4"/>
      <c r="C45" s="117" t="s">
        <v>134</v>
      </c>
      <c r="D45" s="284" t="s">
        <v>168</v>
      </c>
      <c r="E45" s="22"/>
      <c r="F45" s="22"/>
      <c r="L45" s="4"/>
      <c r="M45" s="4"/>
      <c r="T45" s="4"/>
      <c r="U45" s="22"/>
      <c r="V45" s="22"/>
      <c r="W45" s="22"/>
      <c r="X45" s="22"/>
      <c r="Y45" s="22"/>
      <c r="Z45" s="22"/>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row>
    <row r="46" spans="1:58" ht="15" customHeight="1">
      <c r="A46" s="42" t="s">
        <v>118</v>
      </c>
      <c r="B46" s="42" t="s">
        <v>131</v>
      </c>
      <c r="C46" s="42" t="s">
        <v>133</v>
      </c>
      <c r="D46" s="163"/>
      <c r="E46" s="22"/>
      <c r="F46" s="22"/>
      <c r="K46" s="202"/>
      <c r="L46" s="4"/>
      <c r="M46" s="4"/>
      <c r="T46" s="4"/>
      <c r="U46" s="4"/>
      <c r="V46" s="22"/>
      <c r="W46" s="22"/>
      <c r="X46" s="22"/>
      <c r="Y46" s="22"/>
      <c r="Z46" s="22"/>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row>
    <row r="47" spans="1:58" ht="15" customHeight="1">
      <c r="A47" s="155" t="s">
        <v>119</v>
      </c>
      <c r="B47" s="53" t="s">
        <v>132</v>
      </c>
      <c r="C47" s="155"/>
      <c r="D47" s="172"/>
      <c r="E47" s="22"/>
      <c r="F47" s="22"/>
      <c r="L47" s="4"/>
      <c r="M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row>
    <row r="48" spans="1:58" ht="15" customHeight="1">
      <c r="A48" s="164"/>
      <c r="B48" s="158" t="s">
        <v>32</v>
      </c>
      <c r="C48" s="49" t="s">
        <v>30</v>
      </c>
      <c r="D48" s="227" t="s">
        <v>31</v>
      </c>
      <c r="E48" s="22"/>
      <c r="F48" s="22"/>
      <c r="L48" s="4"/>
      <c r="M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row>
    <row r="49" spans="1:60" ht="15" customHeight="1">
      <c r="A49" s="34" t="s">
        <v>6</v>
      </c>
      <c r="B49" s="257">
        <v>73600</v>
      </c>
      <c r="C49" s="69">
        <f>IF(D45="Age à l'interview",17,17.5)</f>
        <v>17</v>
      </c>
      <c r="D49" s="55">
        <f>B49*C49</f>
        <v>1251200</v>
      </c>
      <c r="E49" s="22"/>
      <c r="F49" s="22"/>
      <c r="L49" s="4"/>
      <c r="M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row>
    <row r="50" spans="1:60" ht="15" customHeight="1">
      <c r="A50" s="34" t="s">
        <v>7</v>
      </c>
      <c r="B50" s="257">
        <v>193400</v>
      </c>
      <c r="C50" s="69">
        <f>C49+5</f>
        <v>22</v>
      </c>
      <c r="D50" s="55">
        <f t="shared" ref="D50:D55" si="29">B50*C50</f>
        <v>4254800</v>
      </c>
      <c r="E50" s="22"/>
      <c r="F50" s="22"/>
      <c r="L50" s="4"/>
      <c r="M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row>
    <row r="51" spans="1:60" ht="15" customHeight="1">
      <c r="A51" s="34" t="s">
        <v>8</v>
      </c>
      <c r="B51" s="257">
        <v>170220</v>
      </c>
      <c r="C51" s="69">
        <f t="shared" ref="C51:C55" si="30">C50+5</f>
        <v>27</v>
      </c>
      <c r="D51" s="55">
        <f t="shared" si="29"/>
        <v>4595940</v>
      </c>
      <c r="E51" s="22"/>
      <c r="F51" s="22"/>
      <c r="L51" s="4"/>
      <c r="M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row>
    <row r="52" spans="1:60" ht="15" customHeight="1">
      <c r="A52" s="34" t="s">
        <v>9</v>
      </c>
      <c r="B52" s="257">
        <v>95180</v>
      </c>
      <c r="C52" s="69">
        <f t="shared" si="30"/>
        <v>32</v>
      </c>
      <c r="D52" s="55">
        <f t="shared" si="29"/>
        <v>3045760</v>
      </c>
      <c r="E52" s="22"/>
      <c r="F52" s="22"/>
      <c r="L52" s="4"/>
      <c r="M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row>
    <row r="53" spans="1:60" ht="15" customHeight="1">
      <c r="A53" s="34" t="s">
        <v>10</v>
      </c>
      <c r="B53" s="257">
        <v>56340</v>
      </c>
      <c r="C53" s="69">
        <f t="shared" si="30"/>
        <v>37</v>
      </c>
      <c r="D53" s="55">
        <f t="shared" si="29"/>
        <v>2084580</v>
      </c>
      <c r="E53" s="22"/>
      <c r="F53" s="22"/>
      <c r="L53" s="4"/>
      <c r="M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row>
    <row r="54" spans="1:60" ht="15" customHeight="1">
      <c r="A54" s="34" t="s">
        <v>11</v>
      </c>
      <c r="B54" s="257">
        <v>23240</v>
      </c>
      <c r="C54" s="69">
        <f t="shared" si="30"/>
        <v>42</v>
      </c>
      <c r="D54" s="55">
        <f t="shared" si="29"/>
        <v>976080</v>
      </c>
      <c r="E54" s="22"/>
      <c r="F54" s="22"/>
      <c r="L54" s="4"/>
      <c r="M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row>
    <row r="55" spans="1:60" ht="15" customHeight="1">
      <c r="A55" s="34" t="s">
        <v>12</v>
      </c>
      <c r="B55" s="257">
        <v>8020</v>
      </c>
      <c r="C55" s="69">
        <f t="shared" si="30"/>
        <v>47</v>
      </c>
      <c r="D55" s="55">
        <f t="shared" si="29"/>
        <v>376940</v>
      </c>
      <c r="E55" s="22"/>
      <c r="F55" s="22"/>
      <c r="L55" s="4"/>
      <c r="M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row>
    <row r="56" spans="1:60" ht="15" customHeight="1">
      <c r="A56" s="38" t="s">
        <v>23</v>
      </c>
      <c r="B56" s="31">
        <f>SUM(B49:B55)</f>
        <v>620000</v>
      </c>
      <c r="C56" s="39"/>
      <c r="D56" s="56">
        <f>SUM(D49:D55)</f>
        <v>16585300</v>
      </c>
      <c r="E56" s="22"/>
      <c r="F56" s="22"/>
      <c r="L56" s="4"/>
      <c r="M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row>
    <row r="57" spans="1:60" ht="15" customHeight="1" thickBot="1">
      <c r="A57" s="1"/>
      <c r="B57" s="30"/>
      <c r="C57" s="22"/>
      <c r="D57" s="22"/>
      <c r="E57" s="22"/>
      <c r="F57" s="22"/>
      <c r="L57" s="4"/>
      <c r="M57" s="4"/>
      <c r="O57" s="166"/>
      <c r="Q57" s="17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row>
    <row r="58" spans="1:60" ht="15" customHeight="1" thickBot="1">
      <c r="B58" s="30"/>
      <c r="C58" s="196" t="s">
        <v>73</v>
      </c>
      <c r="D58" s="197">
        <f>D56/B56</f>
        <v>26.750483870967741</v>
      </c>
      <c r="E58" s="22"/>
      <c r="F58" s="22"/>
      <c r="L58" s="4"/>
      <c r="M58" s="4"/>
      <c r="N58" s="4"/>
      <c r="O58" s="166"/>
      <c r="Q58" s="17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row>
    <row r="59" spans="1:60" ht="15" customHeight="1">
      <c r="A59" s="4"/>
      <c r="B59" s="30"/>
      <c r="C59" s="22"/>
      <c r="D59" s="175"/>
      <c r="E59" s="175"/>
      <c r="F59" s="175"/>
      <c r="L59" s="4"/>
      <c r="M59" s="4"/>
      <c r="N59" s="4"/>
      <c r="O59" s="166"/>
      <c r="Q59" s="17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row>
    <row r="60" spans="1:60" ht="15" customHeight="1">
      <c r="B60" s="30"/>
      <c r="C60" s="176"/>
      <c r="D60" s="98"/>
      <c r="E60" s="98"/>
      <c r="F60" s="98"/>
      <c r="G60" s="119"/>
      <c r="L60" s="4"/>
      <c r="M60" s="4"/>
      <c r="N60" s="4"/>
      <c r="O60" s="166"/>
      <c r="Q60" s="17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row>
    <row r="61" spans="1:60" ht="15" customHeight="1">
      <c r="B61" s="30"/>
      <c r="C61" s="176"/>
      <c r="D61" s="177"/>
      <c r="E61" s="177"/>
      <c r="F61" s="177"/>
      <c r="L61" s="4"/>
      <c r="M61" s="4"/>
      <c r="N61" s="4"/>
      <c r="O61" s="166"/>
      <c r="Q61" s="17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row>
    <row r="62" spans="1:60" ht="15" customHeight="1">
      <c r="B62" s="30"/>
      <c r="C62" s="178"/>
      <c r="D62" s="178"/>
      <c r="E62" s="178"/>
      <c r="F62" s="178"/>
      <c r="L62" s="4"/>
      <c r="M62" s="4"/>
      <c r="N62" s="4"/>
      <c r="O62" s="166"/>
      <c r="Q62" s="17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row>
    <row r="63" spans="1:60" ht="15" customHeight="1">
      <c r="C63" s="178"/>
      <c r="D63" s="178"/>
      <c r="E63" s="178"/>
      <c r="F63" s="178"/>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row>
    <row r="64" spans="1:60" ht="15" customHeight="1">
      <c r="C64" s="178"/>
      <c r="D64" s="178"/>
      <c r="E64" s="178"/>
      <c r="F64" s="178"/>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row>
    <row r="65" spans="1:60" ht="15" customHeight="1">
      <c r="C65" s="178"/>
      <c r="D65" s="178"/>
      <c r="E65" s="178"/>
      <c r="F65" s="178"/>
      <c r="I65" s="179"/>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row>
    <row r="66" spans="1:60" ht="15" customHeight="1">
      <c r="C66" s="178"/>
      <c r="D66" s="178"/>
      <c r="E66" s="178"/>
      <c r="F66" s="178"/>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row>
    <row r="67" spans="1:60" ht="15" customHeight="1">
      <c r="C67" s="178"/>
      <c r="D67" s="178"/>
      <c r="E67" s="178"/>
      <c r="F67" s="178"/>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row>
    <row r="68" spans="1:60" ht="15" customHeight="1">
      <c r="C68" s="178"/>
      <c r="D68" s="178"/>
      <c r="E68" s="178"/>
      <c r="F68" s="178"/>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row>
    <row r="69" spans="1:60" ht="15" customHeight="1">
      <c r="C69" s="178"/>
      <c r="D69" s="178"/>
      <c r="E69" s="178"/>
      <c r="F69" s="178"/>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row>
    <row r="70" spans="1:60" ht="15" customHeight="1">
      <c r="C70" s="178"/>
      <c r="D70" s="178"/>
      <c r="E70" s="178"/>
      <c r="F70" s="178"/>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row>
    <row r="71" spans="1:60" ht="15" customHeight="1">
      <c r="C71" s="178"/>
      <c r="D71" s="178"/>
      <c r="E71" s="178"/>
      <c r="F71" s="178"/>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row>
    <row r="72" spans="1:60" ht="15" customHeight="1">
      <c r="C72" s="178"/>
      <c r="D72" s="178"/>
      <c r="E72" s="178"/>
      <c r="F72" s="178"/>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row>
    <row r="73" spans="1:60" ht="15" customHeight="1">
      <c r="C73" s="178"/>
      <c r="D73" s="178"/>
      <c r="E73" s="178"/>
      <c r="F73" s="178"/>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row>
    <row r="74" spans="1:60" ht="15" customHeight="1">
      <c r="C74" s="178"/>
      <c r="D74" s="178"/>
      <c r="E74" s="178"/>
      <c r="F74" s="178"/>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row>
    <row r="75" spans="1:60" ht="15" customHeight="1">
      <c r="C75" s="178"/>
      <c r="D75" s="178"/>
      <c r="E75" s="178"/>
      <c r="F75" s="178"/>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row>
    <row r="76" spans="1:60" ht="15" customHeight="1">
      <c r="C76" s="178"/>
      <c r="D76" s="178"/>
      <c r="E76" s="178"/>
      <c r="F76" s="178"/>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row>
    <row r="77" spans="1:60" ht="15" customHeight="1">
      <c r="C77" s="178"/>
      <c r="D77" s="178"/>
      <c r="E77" s="178"/>
      <c r="F77" s="178"/>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row>
    <row r="78" spans="1:60" ht="15" customHeight="1">
      <c r="A78" s="4"/>
      <c r="B78" s="4"/>
      <c r="C78" s="22"/>
      <c r="D78" s="22"/>
      <c r="E78" s="22"/>
      <c r="F78" s="22"/>
      <c r="G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row>
    <row r="79" spans="1:60" ht="15" customHeight="1">
      <c r="A79" s="4"/>
      <c r="B79" s="4"/>
      <c r="C79" s="22"/>
      <c r="D79" s="22"/>
      <c r="E79" s="22"/>
      <c r="F79" s="22"/>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row>
    <row r="80" spans="1:60">
      <c r="A80" s="180"/>
      <c r="C80" s="178"/>
      <c r="D80" s="178"/>
      <c r="E80" s="178"/>
      <c r="F80" s="178"/>
      <c r="G80" s="180"/>
      <c r="H80" s="4"/>
      <c r="I80" s="8"/>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row>
    <row r="81" spans="1:60">
      <c r="A81" s="180"/>
      <c r="B81" s="180"/>
      <c r="C81" s="181"/>
      <c r="D81" s="181"/>
      <c r="E81" s="181"/>
      <c r="F81" s="181"/>
      <c r="G81" s="180"/>
      <c r="H81" s="180"/>
      <c r="I81" s="180"/>
      <c r="J81" s="180"/>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row>
    <row r="82" spans="1:60">
      <c r="A82" s="180"/>
      <c r="B82" s="180"/>
      <c r="C82" s="178"/>
      <c r="D82" s="178"/>
      <c r="E82" s="178"/>
      <c r="F82" s="178"/>
      <c r="G82" s="180"/>
      <c r="H82" s="180"/>
      <c r="I82" s="180"/>
      <c r="J82" s="180"/>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row>
    <row r="83" spans="1:60">
      <c r="A83" s="180"/>
      <c r="B83" s="180"/>
      <c r="C83" s="181"/>
      <c r="D83" s="181"/>
      <c r="E83" s="181"/>
      <c r="F83" s="181"/>
      <c r="G83" s="180"/>
      <c r="H83" s="180"/>
      <c r="I83" s="180"/>
      <c r="J83" s="180"/>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row>
    <row r="84" spans="1:60">
      <c r="A84" s="180"/>
      <c r="C84" s="178"/>
      <c r="D84" s="178"/>
      <c r="E84" s="178"/>
      <c r="F84" s="178"/>
      <c r="G84" s="180"/>
      <c r="H84" s="180"/>
      <c r="I84" s="180"/>
      <c r="J84" s="180"/>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row>
    <row r="85" spans="1:60">
      <c r="A85" s="4"/>
      <c r="B85" s="4"/>
      <c r="C85" s="22"/>
      <c r="D85" s="22"/>
      <c r="E85" s="22"/>
      <c r="F85" s="22"/>
      <c r="G85" s="4"/>
      <c r="H85" s="180"/>
      <c r="I85" s="180"/>
      <c r="J85" s="180"/>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row>
    <row r="86" spans="1:60">
      <c r="A86" s="4"/>
      <c r="B86" s="4"/>
      <c r="C86" s="22"/>
      <c r="D86" s="22"/>
      <c r="E86" s="22"/>
      <c r="F86" s="22"/>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row>
    <row r="87" spans="1:60">
      <c r="A87" s="4"/>
      <c r="B87" s="4"/>
      <c r="C87" s="22"/>
      <c r="D87" s="22"/>
      <c r="E87" s="22"/>
      <c r="F87" s="22"/>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row>
    <row r="88" spans="1:60">
      <c r="A88" s="4"/>
      <c r="B88" s="4"/>
      <c r="C88" s="22"/>
      <c r="D88" s="22"/>
      <c r="E88" s="22"/>
      <c r="F88" s="22"/>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row>
    <row r="89" spans="1:60">
      <c r="A89" s="4"/>
      <c r="B89" s="4"/>
      <c r="C89" s="22"/>
      <c r="D89" s="22"/>
      <c r="E89" s="22"/>
      <c r="F89" s="22"/>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row>
    <row r="90" spans="1:60">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row>
    <row r="91" spans="1:60">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row>
    <row r="92" spans="1:60">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row>
    <row r="93" spans="1:60">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row>
    <row r="94" spans="1:60">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row>
    <row r="95" spans="1:60">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row>
    <row r="96" spans="1:60">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row>
    <row r="97" spans="1:60">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row>
    <row r="98" spans="1:60">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row>
    <row r="99" spans="1:60">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row>
    <row r="100" spans="1:60">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row>
    <row r="101" spans="1:60">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row>
    <row r="102" spans="1:60">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row>
    <row r="103" spans="1:60">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row>
    <row r="104" spans="1:60">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row>
    <row r="105" spans="1:60">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row>
    <row r="106" spans="1:60">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row>
    <row r="107" spans="1:60">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row>
    <row r="108" spans="1:60">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row>
    <row r="109" spans="1:60">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row>
    <row r="110" spans="1:60">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row>
    <row r="111" spans="1:60">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row>
    <row r="112" spans="1:60">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row>
    <row r="113" spans="1:60">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row>
    <row r="114" spans="1:60">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row>
    <row r="115" spans="1:60">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row>
    <row r="116" spans="1:60">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row>
    <row r="117" spans="1:60">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row>
    <row r="118" spans="1:60">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row>
    <row r="119" spans="1:60">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row>
    <row r="120" spans="1:60">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row>
    <row r="121" spans="1:60">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row>
    <row r="122" spans="1:60">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row>
    <row r="123" spans="1:60">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row>
    <row r="124" spans="1:60">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row>
    <row r="125" spans="1:60">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row>
    <row r="126" spans="1:60">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row>
    <row r="127" spans="1:60">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row>
    <row r="128" spans="1:60">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row>
    <row r="129" spans="1:60">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row>
    <row r="130" spans="1:60">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row>
    <row r="131" spans="1:60">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row>
    <row r="132" spans="1:60">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row>
    <row r="133" spans="1:60">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row>
    <row r="134" spans="1:60">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row>
    <row r="135" spans="1:60">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row>
    <row r="136" spans="1:60">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row>
    <row r="137" spans="1:60">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row>
    <row r="138" spans="1:60">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row>
    <row r="139" spans="1:60">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row>
    <row r="140" spans="1:60">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row>
    <row r="141" spans="1:60">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row>
    <row r="142" spans="1:60">
      <c r="H142" s="4"/>
      <c r="I142" s="4"/>
      <c r="J142" s="4"/>
      <c r="K142" s="4"/>
      <c r="L142" s="4"/>
      <c r="M142" s="4"/>
      <c r="N142" s="4"/>
      <c r="O142" s="4"/>
      <c r="P142" s="4"/>
      <c r="Q142" s="4"/>
      <c r="R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row>
    <row r="143" spans="1:60">
      <c r="K143" s="4"/>
      <c r="L143" s="4"/>
      <c r="M143" s="4"/>
      <c r="N143" s="4"/>
      <c r="O143" s="4"/>
      <c r="P143" s="4"/>
      <c r="Q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row>
  </sheetData>
  <sheetProtection sheet="1" objects="1" scenarios="1"/>
  <mergeCells count="8">
    <mergeCell ref="M32:M33"/>
    <mergeCell ref="O31:S31"/>
    <mergeCell ref="H33:H34"/>
    <mergeCell ref="E3:E4"/>
    <mergeCell ref="E18:E19"/>
    <mergeCell ref="E33:E34"/>
    <mergeCell ref="J17:J18"/>
    <mergeCell ref="J2:J3"/>
  </mergeCells>
  <dataValidations count="5">
    <dataValidation type="list" showDropDown="1" showInputMessage="1" showErrorMessage="1" error="Enter lower limit of initial age group: 20, 25, 30, 35 or 40" sqref="Q32">
      <formula1>"20,25,30,35,40"</formula1>
    </dataValidation>
    <dataValidation type="list" showDropDown="1" showInputMessage="1" showErrorMessage="1" error="Enter upper limit of final age group: 29, 34, 39,44 or 49" sqref="Q33">
      <formula1>"29,34,39,44,49"</formula1>
    </dataValidation>
    <dataValidation type="list" allowBlank="1" showInputMessage="1" showErrorMessage="1" sqref="E45:F45">
      <formula1>"age at interview,age at birth"</formula1>
    </dataValidation>
    <dataValidation type="decimal" operator="greaterThanOrEqual" allowBlank="1" showInputMessage="1" showErrorMessage="1" sqref="B20:C29 B5:C14 B49:B55">
      <formula1>0</formula1>
    </dataValidation>
    <dataValidation type="list" allowBlank="1" showInputMessage="1" showErrorMessage="1" sqref="D45">
      <formula1>"Age à l'interview,Age à l'accouchement"</formula1>
    </dataValidation>
  </dataValidations>
  <printOptions horizontalCentered="1"/>
  <pageMargins left="0.47244094488188981" right="0.47244094488188981" top="0.74803149606299213" bottom="0.74803149606299213" header="0.31496062992125984" footer="0.51181102362204722"/>
  <pageSetup paperSize="9" scale="80" orientation="portrait" horizontalDpi="4294967292" r:id="rId1"/>
  <headerFooter alignWithMargins="0">
    <oddHeader>&amp;L&amp;"Cambria,Bold"&amp;14Tools for Demographic Estimation&amp;R&amp;"Cambria,Bold"&amp;14Synthetic orphanhood</oddHeader>
    <oddFooter>&amp;L&amp;"Cambria,Regular"&amp;F&amp;R&amp;"Cambria,Regular"&amp;D  &amp;T</oddFooter>
  </headerFooter>
  <rowBreaks count="1" manualBreakCount="1">
    <brk id="63"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ublished="0">
    <tabColor theme="3" tint="0.59999389629810485"/>
  </sheetPr>
  <dimension ref="A1:BI140"/>
  <sheetViews>
    <sheetView zoomScaleNormal="100" workbookViewId="0">
      <selection activeCell="L1" sqref="L1"/>
    </sheetView>
  </sheetViews>
  <sheetFormatPr defaultColWidth="8.88671875" defaultRowHeight="15"/>
  <cols>
    <col min="1" max="1" width="5.33203125" customWidth="1"/>
    <col min="2" max="2" width="9.33203125" customWidth="1"/>
    <col min="3" max="5" width="8.77734375" customWidth="1"/>
    <col min="6" max="6" width="3.77734375" style="152" customWidth="1"/>
    <col min="7" max="10" width="8.77734375" customWidth="1"/>
    <col min="11" max="11" width="9.33203125" customWidth="1"/>
    <col min="12" max="13" width="8.77734375" customWidth="1"/>
    <col min="14" max="14" width="6.5546875" customWidth="1"/>
    <col min="15" max="15" width="6.77734375" customWidth="1"/>
    <col min="16" max="17" width="7.77734375" customWidth="1"/>
    <col min="18" max="18" width="10" customWidth="1"/>
    <col min="19" max="19" width="8.21875" customWidth="1"/>
    <col min="20" max="21" width="6.77734375" customWidth="1"/>
    <col min="22" max="22" width="3.77734375" customWidth="1"/>
    <col min="24" max="24" width="9.77734375" customWidth="1"/>
  </cols>
  <sheetData>
    <row r="1" spans="1:61" ht="15" customHeight="1">
      <c r="A1" s="15" t="s">
        <v>117</v>
      </c>
      <c r="B1" s="2"/>
      <c r="C1" s="2"/>
      <c r="D1" s="2"/>
      <c r="E1" s="2"/>
      <c r="F1" s="2"/>
      <c r="G1" s="15" t="str">
        <f>Introduction!D10</f>
        <v>Kenya</v>
      </c>
      <c r="H1" s="15" t="str">
        <f>"Hommes "&amp;TEXT(YEAR(K1),"####")</f>
        <v>Hommes 1999</v>
      </c>
      <c r="I1" s="2"/>
      <c r="J1" s="289" t="s">
        <v>185</v>
      </c>
      <c r="K1" s="185">
        <f>Introduction!D13</f>
        <v>36396</v>
      </c>
      <c r="L1" s="17"/>
      <c r="M1" s="17"/>
      <c r="N1" s="26" t="s">
        <v>161</v>
      </c>
      <c r="O1" s="2"/>
      <c r="P1" s="2"/>
      <c r="Q1" s="2"/>
      <c r="R1" s="2"/>
      <c r="S1" s="2"/>
      <c r="T1" s="289" t="s">
        <v>185</v>
      </c>
      <c r="U1" s="119">
        <f>Date_of_survey</f>
        <v>1999.6438356164383</v>
      </c>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row>
    <row r="2" spans="1:61" ht="15" customHeight="1">
      <c r="A2" s="83"/>
      <c r="B2" s="137"/>
      <c r="C2" s="137"/>
      <c r="D2" s="137"/>
      <c r="E2" s="294" t="s">
        <v>122</v>
      </c>
      <c r="F2" s="205"/>
      <c r="G2" s="137"/>
      <c r="H2" s="137"/>
      <c r="I2" s="137"/>
      <c r="J2" s="294" t="s">
        <v>183</v>
      </c>
      <c r="K2" s="139"/>
      <c r="L2" s="18"/>
      <c r="M2" s="18"/>
      <c r="N2" s="42" t="s">
        <v>118</v>
      </c>
      <c r="O2" s="42" t="s">
        <v>135</v>
      </c>
      <c r="P2" s="42" t="s">
        <v>2</v>
      </c>
      <c r="Q2" s="42" t="s">
        <v>24</v>
      </c>
      <c r="R2" s="42" t="s">
        <v>136</v>
      </c>
      <c r="S2" s="42" t="s">
        <v>158</v>
      </c>
      <c r="T2" s="42" t="s">
        <v>138</v>
      </c>
      <c r="U2" s="163"/>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row>
    <row r="3" spans="1:61" ht="15" customHeight="1">
      <c r="A3" s="48" t="s">
        <v>118</v>
      </c>
      <c r="B3" s="155" t="s">
        <v>1</v>
      </c>
      <c r="C3" s="48" t="s">
        <v>148</v>
      </c>
      <c r="D3" s="48" t="s">
        <v>2</v>
      </c>
      <c r="E3" s="305"/>
      <c r="F3" s="239"/>
      <c r="G3" s="138" t="s">
        <v>43</v>
      </c>
      <c r="H3" s="53" t="s">
        <v>24</v>
      </c>
      <c r="I3" s="48" t="s">
        <v>123</v>
      </c>
      <c r="J3" s="305"/>
      <c r="K3" s="136"/>
      <c r="L3" s="18"/>
      <c r="M3" s="18"/>
      <c r="N3" s="155" t="s">
        <v>119</v>
      </c>
      <c r="O3" s="155" t="s">
        <v>139</v>
      </c>
      <c r="P3" s="155" t="s">
        <v>140</v>
      </c>
      <c r="Q3" s="155" t="s">
        <v>141</v>
      </c>
      <c r="R3" s="155" t="s">
        <v>142</v>
      </c>
      <c r="S3" s="48" t="s">
        <v>159</v>
      </c>
      <c r="T3" s="155" t="s">
        <v>144</v>
      </c>
      <c r="U3" s="155" t="s">
        <v>3</v>
      </c>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row>
    <row r="4" spans="1:61" ht="15" customHeight="1">
      <c r="A4" s="43" t="s">
        <v>119</v>
      </c>
      <c r="B4" s="283" t="s">
        <v>181</v>
      </c>
      <c r="C4" s="43" t="s">
        <v>121</v>
      </c>
      <c r="D4" s="43" t="s">
        <v>26</v>
      </c>
      <c r="E4" s="306"/>
      <c r="F4" s="240" t="s">
        <v>13</v>
      </c>
      <c r="G4" s="45" t="s">
        <v>44</v>
      </c>
      <c r="H4" s="43" t="s">
        <v>42</v>
      </c>
      <c r="I4" s="59" t="s">
        <v>36</v>
      </c>
      <c r="J4" s="123" t="str">
        <f>Introduction!$D$12</f>
        <v>30q30</v>
      </c>
      <c r="K4" s="46" t="s">
        <v>3</v>
      </c>
      <c r="L4" s="19"/>
      <c r="M4" s="19"/>
      <c r="N4" s="164"/>
      <c r="O4" s="49" t="s">
        <v>30</v>
      </c>
      <c r="P4" s="275" t="s">
        <v>26</v>
      </c>
      <c r="Q4" s="49" t="s">
        <v>33</v>
      </c>
      <c r="R4" s="275" t="s">
        <v>27</v>
      </c>
      <c r="S4" s="43" t="s">
        <v>40</v>
      </c>
      <c r="T4" s="49" t="s">
        <v>35</v>
      </c>
      <c r="U4" s="164"/>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ht="15" customHeight="1">
      <c r="A5" s="69" t="s">
        <v>55</v>
      </c>
      <c r="B5" s="258">
        <v>2084500</v>
      </c>
      <c r="C5" s="258">
        <v>1983760</v>
      </c>
      <c r="D5" s="255"/>
      <c r="E5" s="125"/>
      <c r="F5" s="63"/>
      <c r="G5" s="67"/>
      <c r="H5" s="48"/>
      <c r="I5" s="100"/>
      <c r="J5" s="67"/>
      <c r="K5" s="68"/>
      <c r="L5" s="19"/>
      <c r="M5" s="19"/>
      <c r="N5" s="101"/>
      <c r="O5" s="50"/>
      <c r="P5" s="48"/>
      <c r="Q5" s="50"/>
      <c r="R5" s="48"/>
      <c r="S5" s="48"/>
      <c r="T5" s="50"/>
      <c r="U5" s="101"/>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row>
    <row r="6" spans="1:61" ht="15" customHeight="1">
      <c r="A6" s="34" t="s">
        <v>4</v>
      </c>
      <c r="B6" s="258">
        <v>1903060</v>
      </c>
      <c r="C6" s="258">
        <v>1749760</v>
      </c>
      <c r="D6" s="32">
        <f>C6/B6</f>
        <v>0.91944552457620887</v>
      </c>
      <c r="E6" s="135">
        <f t="shared" ref="E6:E12" ca="1" si="0">MBAR_m</f>
        <v>32.96050811424012</v>
      </c>
      <c r="F6" s="237">
        <v>15</v>
      </c>
      <c r="G6" s="32">
        <f ca="1">IF(AND(D6&gt;0,D6&lt;1,D7&gt;0,D7&lt;1),Modèles!L27+Modèles!M27*E6 +Modèles!N27*D6+Modèles!O27*D7,NA())</f>
        <v>0.86933283491013602</v>
      </c>
      <c r="H6" s="32">
        <f>IF(Introduction!$D$11="SIDA",Modèles!G31,Modèles!C31)</f>
        <v>0.75558816659335271</v>
      </c>
      <c r="I6" s="36">
        <f ca="1">-0.5*LN(1+(G6/H6-1/IF(Introduction!$D$11="SIDA",Modèles!$G$28,Modèles!$C$28))/(1-G6))</f>
        <v>0.23631947507661949</v>
      </c>
      <c r="J6" s="189">
        <f ca="1">IF(Introduction!$D$11="SIDA",1-(1+EXP(2*(I6+IF(Introduction!D$12="20q50",Modèles!$G$10,IF(Introduction!D$12="45q15",Modèles!$G$3,Modèles!$G$6)))))/(1+EXP(2*(I6+IF(Introduction!D$12="20q50",Modèles!$G$14,Modèles!$G$12)))),1-(1+EXP(2*(I6+IF(Introduction!D$12="20q50",Modèles!$B$31,IF(Introduction!D$12="45q15",Modèles!$B$24,Modèles!$B$27)))))/(1+EXP(2*(I6+IF(Introduction!D$12="20q50",Modèles!$B$35,Modèles!$B$33)))))</f>
        <v>0.313020542405539</v>
      </c>
      <c r="K6" s="193">
        <f ca="1">U6</f>
        <v>1994.5391330915063</v>
      </c>
      <c r="L6" s="20"/>
      <c r="M6" s="20"/>
      <c r="N6" s="34" t="s">
        <v>4</v>
      </c>
      <c r="O6" s="35">
        <v>10</v>
      </c>
      <c r="P6" s="32">
        <f t="shared" ref="P6:P12" si="1">SQRT(D6*D7)</f>
        <v>0.9012637070265429</v>
      </c>
      <c r="Q6" s="63">
        <f t="shared" ref="Q6:Q12" ca="1" si="2">(1-(MBAR_m+O6)/80)/(1-(MBAR_m-0.75)/80)</f>
        <v>0.77505515175391027</v>
      </c>
      <c r="R6" s="89">
        <f t="shared" ref="R6:R12" ca="1" si="3">LN(P6/Q6)/3</f>
        <v>5.0287902338247377E-2</v>
      </c>
      <c r="S6" s="65">
        <f>(O6+0.75)/2</f>
        <v>5.375</v>
      </c>
      <c r="T6" s="96">
        <f t="shared" ref="T6:T12" ca="1" si="4">S6*(1-R6)</f>
        <v>5.1047025249319198</v>
      </c>
      <c r="U6" s="37">
        <f t="shared" ref="U6:U12" ca="1" si="5">$U$1-T6</f>
        <v>1994.5391330915063</v>
      </c>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row>
    <row r="7" spans="1:61" ht="15" customHeight="1">
      <c r="A7" s="34" t="s">
        <v>5</v>
      </c>
      <c r="B7" s="258">
        <v>1930360</v>
      </c>
      <c r="C7" s="258">
        <v>1705360</v>
      </c>
      <c r="D7" s="32">
        <f t="shared" ref="D7:D13" si="6">C7/B7</f>
        <v>0.88344143061397873</v>
      </c>
      <c r="E7" s="135">
        <f t="shared" ca="1" si="0"/>
        <v>32.96050811424012</v>
      </c>
      <c r="F7" s="237">
        <v>15</v>
      </c>
      <c r="G7" s="32">
        <f ca="1">IF(AND(D7&gt;0,D7&lt;1,D8&gt;0,D8&lt;1),Modèles!L28+Modèles!M28*E7 +Modèles!N28*D7+Modèles!O28*D8,NA())</f>
        <v>0.87216183528356983</v>
      </c>
      <c r="H7" s="32">
        <f>IF(Introduction!$D$11="SIDA",Modèles!G31,Modèles!C31)</f>
        <v>0.75558816659335271</v>
      </c>
      <c r="I7" s="36">
        <f ca="1">-0.5*LN(1+(G7/H7-1/IF(Introduction!$D$11="SIDA",Modèles!$G$28,Modèles!$C$28))/(1-G7))</f>
        <v>0.21978924071360523</v>
      </c>
      <c r="J7" s="189">
        <f ca="1">IF(Introduction!$D$11="SIDA",1-(1+EXP(2*(I7+IF(Introduction!D$12="20q50",Modèles!$G$10,IF(Introduction!D$12="45q15",Modèles!$G$3,Modèles!$G$6)))))/(1+EXP(2*(I7+IF(Introduction!D$12="20q50",Modèles!$G$14,Modèles!$G$12)))),1-(1+EXP(2*(I7+IF(Introduction!D$12="20q50",Modèles!$B$31,IF(Introduction!D$12="45q15",Modèles!$B$24,Modèles!$B$27)))))/(1+EXP(2*(I7+IF(Introduction!D$12="20q50",Modèles!$B$35,Modèles!$B$33)))))</f>
        <v>0.30749117088980216</v>
      </c>
      <c r="K7" s="193">
        <f ca="1">U7</f>
        <v>1992.4219666379479</v>
      </c>
      <c r="L7" s="20"/>
      <c r="M7" s="20"/>
      <c r="N7" s="34" t="s">
        <v>5</v>
      </c>
      <c r="O7" s="35">
        <f>O6+5</f>
        <v>15</v>
      </c>
      <c r="P7" s="32">
        <f t="shared" si="1"/>
        <v>0.85982646132094864</v>
      </c>
      <c r="Q7" s="63">
        <f t="shared" ca="1" si="2"/>
        <v>0.67042964094177537</v>
      </c>
      <c r="R7" s="89">
        <f t="shared" ca="1" si="3"/>
        <v>8.2937272572641649E-2</v>
      </c>
      <c r="S7" s="65">
        <f t="shared" ref="S7:S12" si="7">(O7+0.75)/2</f>
        <v>7.875</v>
      </c>
      <c r="T7" s="96">
        <f t="shared" ca="1" si="4"/>
        <v>7.2218689784904475</v>
      </c>
      <c r="U7" s="37">
        <f t="shared" ca="1" si="5"/>
        <v>1992.4219666379479</v>
      </c>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row>
    <row r="8" spans="1:61" ht="15" customHeight="1">
      <c r="A8" s="34" t="s">
        <v>6</v>
      </c>
      <c r="B8" s="258">
        <v>1669800</v>
      </c>
      <c r="C8" s="258">
        <v>1397360</v>
      </c>
      <c r="D8" s="32">
        <f t="shared" si="6"/>
        <v>0.83684273565696488</v>
      </c>
      <c r="E8" s="135">
        <f t="shared" ca="1" si="0"/>
        <v>32.96050811424012</v>
      </c>
      <c r="F8" s="237">
        <v>20</v>
      </c>
      <c r="G8" s="32">
        <f ca="1">IF(AND(D8&gt;0,D8&lt;1,D9&gt;0,D9&lt;1),Modèles!L29+Modèles!M29*E8 +Modèles!N29*D8+Modèles!O29*D9,NA())</f>
        <v>0.82821653096456149</v>
      </c>
      <c r="H8" s="32">
        <f>IF(Introduction!$D$11="SIDA",Modèles!G32,Modèles!C32)</f>
        <v>0.71027415735971011</v>
      </c>
      <c r="I8" s="36">
        <f ca="1">-0.5*LN(1+(G8/H8-1/IF(Introduction!$D$11="SIDA",Modèles!$G$28,Modèles!$C$28))/(1-G8))</f>
        <v>0.10919233831823694</v>
      </c>
      <c r="J8" s="189">
        <f ca="1">IF(Introduction!$D$11="SIDA",1-(1+EXP(2*(I8+IF(Introduction!D$12="20q50",Modèles!$G$10,IF(Introduction!D$12="45q15",Modèles!$G$3,Modèles!$G$6)))))/(1+EXP(2*(I8+IF(Introduction!D$12="20q50",Modèles!$G$14,Modèles!$G$12)))),1-(1+EXP(2*(I8+IF(Introduction!D$12="20q50",Modèles!$B$31,IF(Introduction!D$12="45q15",Modèles!$B$24,Modèles!$B$27)))))/(1+EXP(2*(I8+IF(Introduction!D$12="20q50",Modèles!$B$35,Modèles!$B$33)))))</f>
        <v>0.27104261724721257</v>
      </c>
      <c r="K8" s="193">
        <f ca="1">U8</f>
        <v>1990.485180956078</v>
      </c>
      <c r="L8" s="20"/>
      <c r="M8" s="20"/>
      <c r="N8" s="34" t="s">
        <v>6</v>
      </c>
      <c r="O8" s="35">
        <f t="shared" ref="O8:O12" si="8">O7+5</f>
        <v>20</v>
      </c>
      <c r="P8" s="32">
        <f t="shared" si="1"/>
        <v>0.80429190848958321</v>
      </c>
      <c r="Q8" s="63">
        <f t="shared" ca="1" si="2"/>
        <v>0.56580413012964059</v>
      </c>
      <c r="R8" s="63">
        <f t="shared" ca="1" si="3"/>
        <v>0.11723810502551679</v>
      </c>
      <c r="S8" s="65">
        <f t="shared" si="7"/>
        <v>10.375</v>
      </c>
      <c r="T8" s="36">
        <f t="shared" ca="1" si="4"/>
        <v>9.1586546603602628</v>
      </c>
      <c r="U8" s="51">
        <f t="shared" ca="1" si="5"/>
        <v>1990.485180956078</v>
      </c>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row>
    <row r="9" spans="1:61" ht="15" customHeight="1">
      <c r="A9" s="34" t="s">
        <v>7</v>
      </c>
      <c r="B9" s="258">
        <v>1474320</v>
      </c>
      <c r="C9" s="258">
        <v>1139660</v>
      </c>
      <c r="D9" s="32">
        <f t="shared" si="6"/>
        <v>0.77300721688642904</v>
      </c>
      <c r="E9" s="135">
        <f t="shared" ca="1" si="0"/>
        <v>32.96050811424012</v>
      </c>
      <c r="F9" s="237">
        <v>25</v>
      </c>
      <c r="G9" s="32">
        <f ca="1">IF(AND(D9&gt;0,D9&lt;1,D10&gt;0,D10&lt;1),Modèles!L30+Modèles!M30*E9 +Modèles!N30*D9+Modèles!O30*D10,NA())</f>
        <v>0.76535975932021116</v>
      </c>
      <c r="H9" s="32">
        <f>IF(Introduction!$D$11="SIDA",Modèles!G33,Modèles!C33)</f>
        <v>0.64857401363075629</v>
      </c>
      <c r="I9" s="36">
        <f ca="1">-0.5*LN(1+(G9/H9-1/IF(Introduction!$D$11="SIDA",Modèles!$G$28,Modèles!$C$28))/(1-G9))</f>
        <v>4.381792806439349E-2</v>
      </c>
      <c r="J9" s="189">
        <f ca="1">IF(Introduction!$D$11="SIDA",1-(1+EXP(2*(I9+IF(Introduction!D$12="20q50",Modèles!$G$10,IF(Introduction!D$12="45q15",Modèles!$G$3,Modèles!$G$6)))))/(1+EXP(2*(I9+IF(Introduction!D$12="20q50",Modèles!$G$14,Modèles!$G$12)))),1-(1+EXP(2*(I9+IF(Introduction!D$12="20q50",Modèles!$B$31,IF(Introduction!D$12="45q15",Modèles!$B$24,Modèles!$B$27)))))/(1+EXP(2*(I9+IF(Introduction!D$12="20q50",Modèles!$B$35,Modèles!$B$33)))))</f>
        <v>0.25016918081414652</v>
      </c>
      <c r="K9" s="193">
        <f ca="1">U9</f>
        <v>1988.7893881622977</v>
      </c>
      <c r="L9" s="20"/>
      <c r="M9" s="20"/>
      <c r="N9" s="34" t="s">
        <v>7</v>
      </c>
      <c r="O9" s="35">
        <f t="shared" si="8"/>
        <v>25</v>
      </c>
      <c r="P9" s="32">
        <f t="shared" si="1"/>
        <v>0.7384798294333893</v>
      </c>
      <c r="Q9" s="63">
        <f t="shared" ca="1" si="2"/>
        <v>0.46117861931750576</v>
      </c>
      <c r="R9" s="63">
        <f t="shared" ca="1" si="3"/>
        <v>0.15693612006675139</v>
      </c>
      <c r="S9" s="65">
        <f t="shared" si="7"/>
        <v>12.875</v>
      </c>
      <c r="T9" s="36">
        <f t="shared" ca="1" si="4"/>
        <v>10.854447454140576</v>
      </c>
      <c r="U9" s="51">
        <f t="shared" ca="1" si="5"/>
        <v>1988.7893881622977</v>
      </c>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row>
    <row r="10" spans="1:61" ht="15" customHeight="1">
      <c r="A10" s="34" t="s">
        <v>8</v>
      </c>
      <c r="B10" s="258">
        <v>1189520</v>
      </c>
      <c r="C10" s="258">
        <v>839200</v>
      </c>
      <c r="D10" s="32">
        <f t="shared" si="6"/>
        <v>0.70549465330553496</v>
      </c>
      <c r="E10" s="135">
        <f t="shared" ca="1" si="0"/>
        <v>32.96050811424012</v>
      </c>
      <c r="F10" s="237">
        <v>30</v>
      </c>
      <c r="G10" s="32">
        <f ca="1">IF(AND(D10&gt;0,D10&lt;1,D11&gt;0,D11&lt;1),Modèles!L31+Modèles!M31*E10 +Modèles!N31*D10+Modèles!O31*D11,NA())</f>
        <v>0.67018006874771996</v>
      </c>
      <c r="H10" s="32">
        <f>IF(Introduction!$D$11="SIDA",Modèles!G34,Modèles!C34)</f>
        <v>0.56571082144915019</v>
      </c>
      <c r="I10" s="36">
        <f ca="1">-0.5*LN(1+(G10/H10-1/IF(Introduction!$D$11="SIDA",Modèles!$G$28,Modèles!$C$28))/(1-G10))</f>
        <v>2.3406508329301027E-2</v>
      </c>
      <c r="J10" s="189">
        <f ca="1">IF(Introduction!$D$11="SIDA",1-(1+EXP(2*(I10+IF(Introduction!D$12="20q50",Modèles!$G$10,IF(Introduction!D$12="45q15",Modèles!$G$3,Modèles!$G$6)))))/(1+EXP(2*(I10+IF(Introduction!D$12="20q50",Modèles!$G$14,Modèles!$G$12)))),1-(1+EXP(2*(I10+IF(Introduction!D$12="20q50",Modèles!$B$31,IF(Introduction!D$12="45q15",Modèles!$B$24,Modèles!$B$27)))))/(1+EXP(2*(I10+IF(Introduction!D$12="20q50",Modèles!$B$35,Modèles!$B$33)))))</f>
        <v>0.24378642137253459</v>
      </c>
      <c r="K10" s="193">
        <f t="shared" ref="K10:K11" ca="1" si="9">IF(U10&gt;U9,NA(),U10)</f>
        <v>1987.3824130285882</v>
      </c>
      <c r="L10" s="20"/>
      <c r="M10" s="20"/>
      <c r="N10" s="34" t="s">
        <v>8</v>
      </c>
      <c r="O10" s="35">
        <f t="shared" si="8"/>
        <v>30</v>
      </c>
      <c r="P10" s="32">
        <f t="shared" si="1"/>
        <v>0.6545909263827977</v>
      </c>
      <c r="Q10" s="63">
        <f t="shared" ca="1" si="2"/>
        <v>0.35655310850537092</v>
      </c>
      <c r="R10" s="63">
        <f t="shared" ca="1" si="3"/>
        <v>0.20250909997723029</v>
      </c>
      <c r="S10" s="65">
        <f t="shared" si="7"/>
        <v>15.375</v>
      </c>
      <c r="T10" s="36">
        <f t="shared" ca="1" si="4"/>
        <v>12.261422587850085</v>
      </c>
      <c r="U10" s="51">
        <f t="shared" ca="1" si="5"/>
        <v>1987.3824130285882</v>
      </c>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row>
    <row r="11" spans="1:61" ht="15" customHeight="1">
      <c r="A11" s="34" t="s">
        <v>9</v>
      </c>
      <c r="B11" s="258">
        <v>841840</v>
      </c>
      <c r="C11" s="258">
        <v>511300</v>
      </c>
      <c r="D11" s="32">
        <f t="shared" si="6"/>
        <v>0.60736006842155277</v>
      </c>
      <c r="E11" s="135">
        <f t="shared" ca="1" si="0"/>
        <v>32.96050811424012</v>
      </c>
      <c r="F11" s="237">
        <v>35</v>
      </c>
      <c r="G11" s="32">
        <f ca="1">IF(AND(D11&gt;0,D11&lt;1,D12&gt;0,D12&lt;1),Modèles!L32+Modèles!M32*E11 +Modèles!N32*D11+Modèles!O32*D12,NA())</f>
        <v>0.56664890311272709</v>
      </c>
      <c r="H11" s="32">
        <f>IF(Introduction!$D$11="SIDA",Modèles!G35,Modèles!C35)</f>
        <v>0.45955087928190458</v>
      </c>
      <c r="I11" s="36">
        <f ca="1">-0.5*LN(1+(G11/H11-1/IF(Introduction!$D$11="SIDA",Modèles!$G$28,Modèles!$C$28))/(1-G11))</f>
        <v>-3.7012832494913162E-2</v>
      </c>
      <c r="J11" s="189">
        <f ca="1">IF(Introduction!$D$11="SIDA",1-(1+EXP(2*(I11+IF(Introduction!D$12="20q50",Modèles!$G$10,IF(Introduction!D$12="45q15",Modèles!$G$3,Modèles!$G$6)))))/(1+EXP(2*(I11+IF(Introduction!D$12="20q50",Modèles!$G$14,Modèles!$G$12)))),1-(1+EXP(2*(I11+IF(Introduction!D$12="20q50",Modèles!$B$31,IF(Introduction!D$12="45q15",Modèles!$B$24,Modèles!$B$27)))))/(1+EXP(2*(I11+IF(Introduction!D$12="20q50",Modèles!$B$35,Modèles!$B$33)))))</f>
        <v>0.22532656834196474</v>
      </c>
      <c r="K11" s="193">
        <f t="shared" ca="1" si="9"/>
        <v>1986.548259169733</v>
      </c>
      <c r="L11" s="20"/>
      <c r="M11" s="20"/>
      <c r="N11" s="34" t="s">
        <v>9</v>
      </c>
      <c r="O11" s="35">
        <f t="shared" si="8"/>
        <v>35</v>
      </c>
      <c r="P11" s="32">
        <f t="shared" si="1"/>
        <v>0.56187688014945658</v>
      </c>
      <c r="Q11" s="63">
        <f t="shared" ca="1" si="2"/>
        <v>0.25192759769323586</v>
      </c>
      <c r="R11" s="63">
        <f t="shared" ca="1" si="3"/>
        <v>0.2673803386458527</v>
      </c>
      <c r="S11" s="65">
        <f>(O11+0.75)/2</f>
        <v>17.875</v>
      </c>
      <c r="T11" s="36">
        <f t="shared" ca="1" si="4"/>
        <v>13.095576446705383</v>
      </c>
      <c r="U11" s="51">
        <f t="shared" ca="1" si="5"/>
        <v>1986.548259169733</v>
      </c>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row>
    <row r="12" spans="1:61" ht="15" customHeight="1">
      <c r="A12" s="57" t="s">
        <v>10</v>
      </c>
      <c r="B12" s="258">
        <v>719200</v>
      </c>
      <c r="C12" s="258">
        <v>373840</v>
      </c>
      <c r="D12" s="32">
        <f t="shared" si="6"/>
        <v>0.51979977753058959</v>
      </c>
      <c r="E12" s="135">
        <f t="shared" ca="1" si="0"/>
        <v>32.96050811424012</v>
      </c>
      <c r="F12" s="237">
        <v>40</v>
      </c>
      <c r="G12" s="32">
        <f ca="1">IF(AND(D12&gt;0,D12&lt;1,D13&gt;0,D13&lt;1),Modèles!L33+Modèles!M33*E12 +Modèles!N33*D12+Modèles!O33*D13,NA())</f>
        <v>0.42203709176359872</v>
      </c>
      <c r="H12" s="32">
        <f>IF(Introduction!$D$11="SIDA",Modèles!G36,Modèles!C36)</f>
        <v>0.33555954367971813</v>
      </c>
      <c r="I12" s="36">
        <f ca="1">-0.5*LN(1+(G12/H12-1/IF(Introduction!$D$11="SIDA",Modèles!$G$28,Modèles!$C$28))/(1-G12))</f>
        <v>-4.77826020838975E-2</v>
      </c>
      <c r="J12" s="189">
        <f ca="1">IF(Introduction!$D$11="SIDA",1-(1+EXP(2*(I12+IF(Introduction!D$12="20q50",Modèles!$G$10,IF(Introduction!D$12="45q15",Modèles!$G$3,Modèles!$G$6)))))/(1+EXP(2*(I12+IF(Introduction!D$12="20q50",Modèles!$G$14,Modèles!$G$12)))),1-(1+EXP(2*(I12+IF(Introduction!D$12="20q50",Modèles!$B$31,IF(Introduction!D$12="45q15",Modèles!$B$24,Modèles!$B$27)))))/(1+EXP(2*(I12+IF(Introduction!D$12="20q50",Modèles!$B$35,Modèles!$B$33)))))</f>
        <v>0.22210937413518494</v>
      </c>
      <c r="K12" s="193" t="e">
        <f ca="1">IF(U12&gt;U11,NA(),U12)</f>
        <v>#N/A</v>
      </c>
      <c r="L12" s="20"/>
      <c r="M12" s="20"/>
      <c r="N12" s="57" t="s">
        <v>10</v>
      </c>
      <c r="O12" s="94">
        <f t="shared" si="8"/>
        <v>40</v>
      </c>
      <c r="P12" s="95">
        <f t="shared" si="1"/>
        <v>0.45328776609184535</v>
      </c>
      <c r="Q12" s="89">
        <f t="shared" ca="1" si="2"/>
        <v>0.14730208688110102</v>
      </c>
      <c r="R12" s="89">
        <f t="shared" ca="1" si="3"/>
        <v>0.3746805593703762</v>
      </c>
      <c r="S12" s="65">
        <f t="shared" si="7"/>
        <v>20.375</v>
      </c>
      <c r="T12" s="96">
        <f t="shared" ca="1" si="4"/>
        <v>12.740883602828585</v>
      </c>
      <c r="U12" s="37">
        <f t="shared" ca="1" si="5"/>
        <v>1986.9029520136098</v>
      </c>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row>
    <row r="13" spans="1:61" ht="15" customHeight="1">
      <c r="A13" s="58" t="s">
        <v>11</v>
      </c>
      <c r="B13" s="188">
        <v>514260</v>
      </c>
      <c r="C13" s="188">
        <v>203280</v>
      </c>
      <c r="D13" s="33">
        <f t="shared" si="6"/>
        <v>0.39528643098821609</v>
      </c>
      <c r="E13" s="124"/>
      <c r="F13" s="124"/>
      <c r="G13" s="33"/>
      <c r="H13" s="33"/>
      <c r="I13" s="33"/>
      <c r="J13" s="33"/>
      <c r="K13" s="61"/>
      <c r="L13" s="20"/>
      <c r="M13" s="20"/>
      <c r="N13" s="38"/>
      <c r="O13" s="39"/>
      <c r="P13" s="33"/>
      <c r="Q13" s="64"/>
      <c r="R13" s="64"/>
      <c r="S13" s="66"/>
      <c r="T13" s="40"/>
      <c r="U13" s="41"/>
      <c r="V13" s="60"/>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row>
    <row r="14" spans="1:61" ht="15" customHeight="1">
      <c r="B14" s="152"/>
      <c r="C14" s="152"/>
      <c r="D14" s="152"/>
      <c r="G14" s="23"/>
      <c r="H14" s="71"/>
      <c r="I14" s="27"/>
      <c r="J14" s="23"/>
      <c r="K14" s="25"/>
      <c r="L14" s="2"/>
      <c r="M14" s="2"/>
      <c r="S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row>
    <row r="15" spans="1:61" ht="15" customHeight="1">
      <c r="A15" s="15" t="s">
        <v>117</v>
      </c>
      <c r="B15" s="153"/>
      <c r="C15" s="153"/>
      <c r="D15" s="153"/>
      <c r="E15" s="2"/>
      <c r="F15" s="2"/>
      <c r="G15" s="2"/>
      <c r="H15" s="15" t="str">
        <f>"Hommes "&amp;TEXT(YEAR(K15),"####")</f>
        <v>Hommes 1989</v>
      </c>
      <c r="I15" s="2"/>
      <c r="J15" s="289" t="s">
        <v>185</v>
      </c>
      <c r="K15" s="185">
        <f>Introduction!D14</f>
        <v>32806</v>
      </c>
      <c r="L15" s="17"/>
      <c r="M15" s="17"/>
      <c r="N15" s="26" t="s">
        <v>161</v>
      </c>
      <c r="O15" s="2"/>
      <c r="P15" s="2"/>
      <c r="Q15" s="2"/>
      <c r="R15" s="2"/>
      <c r="S15" s="2"/>
      <c r="T15" s="289" t="s">
        <v>185</v>
      </c>
      <c r="U15" s="4">
        <f>'Orphelins de mère'!U16</f>
        <v>1989.813698630137</v>
      </c>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row>
    <row r="16" spans="1:61" ht="15" customHeight="1">
      <c r="A16" s="83"/>
      <c r="B16" s="156"/>
      <c r="C16" s="156"/>
      <c r="D16" s="156"/>
      <c r="E16" s="294" t="s">
        <v>122</v>
      </c>
      <c r="F16" s="205"/>
      <c r="G16" s="137"/>
      <c r="H16" s="137"/>
      <c r="I16" s="137"/>
      <c r="J16" s="294" t="s">
        <v>183</v>
      </c>
      <c r="K16" s="139"/>
      <c r="L16" s="18"/>
      <c r="M16" s="18"/>
      <c r="N16" s="42" t="s">
        <v>118</v>
      </c>
      <c r="O16" s="42" t="s">
        <v>135</v>
      </c>
      <c r="P16" s="42" t="s">
        <v>2</v>
      </c>
      <c r="Q16" s="42" t="s">
        <v>24</v>
      </c>
      <c r="R16" s="42" t="s">
        <v>136</v>
      </c>
      <c r="S16" s="42" t="s">
        <v>158</v>
      </c>
      <c r="T16" s="42" t="s">
        <v>138</v>
      </c>
      <c r="U16" s="163"/>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row>
    <row r="17" spans="1:61" ht="15" customHeight="1">
      <c r="A17" s="155" t="s">
        <v>118</v>
      </c>
      <c r="B17" s="155" t="s">
        <v>1</v>
      </c>
      <c r="C17" s="155" t="s">
        <v>148</v>
      </c>
      <c r="D17" s="155" t="s">
        <v>2</v>
      </c>
      <c r="E17" s="305"/>
      <c r="F17" s="239"/>
      <c r="G17" s="138" t="s">
        <v>43</v>
      </c>
      <c r="H17" s="53" t="s">
        <v>24</v>
      </c>
      <c r="I17" s="48" t="s">
        <v>123</v>
      </c>
      <c r="J17" s="305"/>
      <c r="K17" s="136"/>
      <c r="L17" s="18"/>
      <c r="M17" s="18"/>
      <c r="N17" s="155" t="s">
        <v>119</v>
      </c>
      <c r="O17" s="155" t="s">
        <v>139</v>
      </c>
      <c r="P17" s="155" t="s">
        <v>140</v>
      </c>
      <c r="Q17" s="155" t="s">
        <v>141</v>
      </c>
      <c r="R17" s="155" t="s">
        <v>142</v>
      </c>
      <c r="S17" s="155" t="s">
        <v>159</v>
      </c>
      <c r="T17" s="155" t="s">
        <v>144</v>
      </c>
      <c r="U17" s="155" t="s">
        <v>3</v>
      </c>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row>
    <row r="18" spans="1:61" ht="15" customHeight="1">
      <c r="A18" s="275" t="s">
        <v>119</v>
      </c>
      <c r="B18" s="283" t="s">
        <v>181</v>
      </c>
      <c r="C18" s="275" t="s">
        <v>121</v>
      </c>
      <c r="D18" s="154" t="s">
        <v>26</v>
      </c>
      <c r="E18" s="306"/>
      <c r="F18" s="240" t="s">
        <v>13</v>
      </c>
      <c r="G18" s="45" t="s">
        <v>44</v>
      </c>
      <c r="H18" s="43" t="s">
        <v>42</v>
      </c>
      <c r="I18" s="59" t="s">
        <v>36</v>
      </c>
      <c r="J18" s="123" t="str">
        <f>Introduction!$D$12</f>
        <v>30q30</v>
      </c>
      <c r="K18" s="46" t="s">
        <v>3</v>
      </c>
      <c r="L18" s="19"/>
      <c r="M18" s="19"/>
      <c r="N18" s="164"/>
      <c r="O18" s="49" t="s">
        <v>30</v>
      </c>
      <c r="P18" s="275" t="s">
        <v>26</v>
      </c>
      <c r="Q18" s="49" t="s">
        <v>33</v>
      </c>
      <c r="R18" s="275" t="s">
        <v>27</v>
      </c>
      <c r="S18" s="275" t="s">
        <v>40</v>
      </c>
      <c r="T18" s="49" t="s">
        <v>35</v>
      </c>
      <c r="U18" s="164"/>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row>
    <row r="19" spans="1:61" ht="15" customHeight="1">
      <c r="A19" s="69" t="s">
        <v>55</v>
      </c>
      <c r="B19" s="258">
        <v>1833580</v>
      </c>
      <c r="C19" s="258">
        <v>1776940</v>
      </c>
      <c r="D19" s="256"/>
      <c r="E19" s="125"/>
      <c r="F19" s="63"/>
      <c r="G19" s="67"/>
      <c r="H19" s="48"/>
      <c r="I19" s="100"/>
      <c r="J19" s="67"/>
      <c r="K19" s="68"/>
      <c r="L19" s="19"/>
      <c r="M19" s="19"/>
      <c r="N19" s="101"/>
      <c r="O19" s="50"/>
      <c r="P19" s="48"/>
      <c r="Q19" s="50"/>
      <c r="R19" s="48"/>
      <c r="S19" s="48"/>
      <c r="T19" s="50"/>
      <c r="U19" s="101"/>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row>
    <row r="20" spans="1:61" ht="15" customHeight="1">
      <c r="A20" s="34" t="s">
        <v>4</v>
      </c>
      <c r="B20" s="258">
        <v>1691100</v>
      </c>
      <c r="C20" s="258">
        <v>1602600</v>
      </c>
      <c r="D20" s="32">
        <f>C20/B20</f>
        <v>0.94766719886464434</v>
      </c>
      <c r="E20" s="135">
        <f t="shared" ref="E20:E26" ca="1" si="10">MBAR_m</f>
        <v>32.96050811424012</v>
      </c>
      <c r="F20" s="237">
        <v>15</v>
      </c>
      <c r="G20" s="32">
        <f ca="1">IF(AND(D20&gt;0,D20&lt;1,D21&gt;0,D21&lt;1),Modèles!L27+Modèles!M27*E20+Modèles!N27*D20+Modèles!O27*D21,NA())</f>
        <v>0.91307603229507439</v>
      </c>
      <c r="H20" s="32">
        <f>IF(Introduction!$D$11="SIDA",Modèles!G31,Modèles!C31)</f>
        <v>0.75558816659335271</v>
      </c>
      <c r="I20" s="36">
        <f ca="1">-0.5*LN(1+(G20/H20-1/IF(Introduction!$D$11="SIDA",Modèles!$G$28,Modèles!$C$28))/(1-G20))</f>
        <v>-4.7578687681350755E-2</v>
      </c>
      <c r="J20" s="189">
        <f ca="1">IF(Introduction!$D$11="SIDA",1-(1+EXP(2*(I20+IF(Introduction!D$12="20q50",Modèles!$G$10,IF(Introduction!D$12="45q15",Modèles!$G$3,Modèles!$G$6)))))/(1+EXP(2*(I20+IF(Introduction!D$12="20q50",Modèles!$G$14,Modèles!$G$12)))),1-(1+EXP(2*(I20+IF(Introduction!D$12="20q50",Modèles!$B$31,IF(Introduction!D$12="45q15",Modèles!$B$24,Modèles!$B$27)))))/(1+EXP(2*(I20+IF(Introduction!D$12="20q50",Modèles!$B$35,Modèles!$B$33)))))</f>
        <v>0.22217007183315429</v>
      </c>
      <c r="K20" s="193">
        <f ca="1">U20</f>
        <v>1984.7679876006887</v>
      </c>
      <c r="L20" s="20"/>
      <c r="M20" s="20"/>
      <c r="N20" s="34" t="s">
        <v>4</v>
      </c>
      <c r="O20" s="35">
        <v>10</v>
      </c>
      <c r="P20" s="32">
        <f t="shared" ref="P20:P26" si="11">SQRT(D20*D21)</f>
        <v>0.93143218293384245</v>
      </c>
      <c r="Q20" s="63">
        <f t="shared" ref="Q20:Q26" ca="1" si="12">(1-(MBAR_m+O20)/80)/(1-(MBAR_m-0.75)/80)</f>
        <v>0.77505515175391027</v>
      </c>
      <c r="R20" s="89">
        <f t="shared" ref="R20:R26" ca="1" si="13">LN(P20/Q20)/3</f>
        <v>6.1263064288684638E-2</v>
      </c>
      <c r="S20" s="65">
        <f>(O20+0.75)/2</f>
        <v>5.375</v>
      </c>
      <c r="T20" s="96">
        <f t="shared" ref="T20:T26" ca="1" si="14">S20*(1-R20)</f>
        <v>5.0457110294483201</v>
      </c>
      <c r="U20" s="37">
        <f t="shared" ref="U20:U26" ca="1" si="15">$U$15-T20</f>
        <v>1984.7679876006887</v>
      </c>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row>
    <row r="21" spans="1:61" ht="15" customHeight="1">
      <c r="A21" s="34" t="s">
        <v>5</v>
      </c>
      <c r="B21" s="258">
        <v>1467500</v>
      </c>
      <c r="C21" s="258">
        <v>1343460</v>
      </c>
      <c r="D21" s="32">
        <f t="shared" ref="D21:D27" si="16">C21/B21</f>
        <v>0.91547529812606476</v>
      </c>
      <c r="E21" s="135">
        <f t="shared" ca="1" si="10"/>
        <v>32.96050811424012</v>
      </c>
      <c r="F21" s="237">
        <v>15</v>
      </c>
      <c r="G21" s="32">
        <f ca="1">IF(AND(D21&gt;0,D21&lt;1,D22&gt;0,D22&lt;1),Modèles!L28+Modèles!M28*E21+Modèles!N28*D21+Modèles!O28*D22,NA())</f>
        <v>0.91153562271569211</v>
      </c>
      <c r="H21" s="32">
        <f>IF(Introduction!$D$11="SIDA",Modèles!G31,Modèles!C31)</f>
        <v>0.75558816659335271</v>
      </c>
      <c r="I21" s="36">
        <f ca="1">-0.5*LN(1+(G21/H21-1/IF(Introduction!$D$11="SIDA",Modèles!$G$28,Modèles!$C$28))/(1-G21))</f>
        <v>-3.6182778391249712E-2</v>
      </c>
      <c r="J21" s="189">
        <f ca="1">IF(Introduction!$D$11="SIDA",1-(1+EXP(2*(I21+IF(Introduction!D$12="20q50",Modèles!$G$10,IF(Introduction!D$12="45q15",Modèles!$G$3,Modèles!$G$6)))))/(1+EXP(2*(I21+IF(Introduction!D$12="20q50",Modèles!$G$14,Modèles!$G$12)))),1-(1+EXP(2*(I21+IF(Introduction!D$12="20q50",Modèles!$B$31,IF(Introduction!D$12="45q15",Modèles!$B$24,Modèles!$B$27)))))/(1+EXP(2*(I21+IF(Introduction!D$12="20q50",Modèles!$B$35,Modèles!$B$33)))))</f>
        <v>0.22557548628065738</v>
      </c>
      <c r="K21" s="193">
        <f ca="1">U21</f>
        <v>1982.6849764777646</v>
      </c>
      <c r="L21" s="20"/>
      <c r="M21" s="20"/>
      <c r="N21" s="34" t="s">
        <v>5</v>
      </c>
      <c r="O21" s="35">
        <f>O20+5</f>
        <v>15</v>
      </c>
      <c r="P21" s="32">
        <f t="shared" si="11"/>
        <v>0.89088476323238508</v>
      </c>
      <c r="Q21" s="63">
        <f t="shared" ca="1" si="12"/>
        <v>0.67042964094177537</v>
      </c>
      <c r="R21" s="89">
        <f t="shared" ca="1" si="13"/>
        <v>9.4765440968599443E-2</v>
      </c>
      <c r="S21" s="65">
        <f t="shared" ref="S21:S26" si="17">(O21+0.75)/2</f>
        <v>7.875</v>
      </c>
      <c r="T21" s="96">
        <f t="shared" ca="1" si="14"/>
        <v>7.1287221523722799</v>
      </c>
      <c r="U21" s="37">
        <f t="shared" ca="1" si="15"/>
        <v>1982.6849764777646</v>
      </c>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row>
    <row r="22" spans="1:61" ht="15" customHeight="1">
      <c r="A22" s="34" t="s">
        <v>6</v>
      </c>
      <c r="B22" s="258">
        <v>1180200</v>
      </c>
      <c r="C22" s="258">
        <v>1023180</v>
      </c>
      <c r="D22" s="32">
        <f t="shared" si="16"/>
        <v>0.86695475343162176</v>
      </c>
      <c r="E22" s="135">
        <f t="shared" ca="1" si="10"/>
        <v>32.96050811424012</v>
      </c>
      <c r="F22" s="237">
        <v>20</v>
      </c>
      <c r="G22" s="32">
        <f ca="1">IF(AND(D22&gt;0,D22&lt;1,D23&gt;0,D23&lt;1),Modèles!L29+Modèles!M29*E22+Modèles!N29*D22+Modèles!O29*D23,NA())</f>
        <v>0.8564841065521569</v>
      </c>
      <c r="H22" s="32">
        <f>IF(Introduction!$D$11="SIDA",Modèles!G32,Modèles!C32)</f>
        <v>0.71027415735971011</v>
      </c>
      <c r="I22" s="36">
        <f ca="1">-0.5*LN(1+(G22/H22-1/IF(Introduction!$D$11="SIDA",Modèles!$G$28,Modèles!$C$28))/(1-G22))</f>
        <v>-2.0802667492271398E-2</v>
      </c>
      <c r="J22" s="189">
        <f ca="1">IF(Introduction!$D$11="SIDA",1-(1+EXP(2*(I22+IF(Introduction!D$12="20q50",Modèles!$G$10,IF(Introduction!D$12="45q15",Modèles!$G$3,Modèles!$G$6)))))/(1+EXP(2*(I22+IF(Introduction!D$12="20q50",Modèles!$G$14,Modèles!$G$12)))),1-(1+EXP(2*(I22+IF(Introduction!D$12="20q50",Modèles!$B$31,IF(Introduction!D$12="45q15",Modèles!$B$24,Modèles!$B$27)))))/(1+EXP(2*(I22+IF(Introduction!D$12="20q50",Modèles!$B$35,Modèles!$B$33)))))</f>
        <v>0.23021211281964959</v>
      </c>
      <c r="K22" s="193">
        <f ca="1">U22</f>
        <v>1980.7691641736922</v>
      </c>
      <c r="L22" s="20"/>
      <c r="M22" s="20"/>
      <c r="N22" s="34" t="s">
        <v>6</v>
      </c>
      <c r="O22" s="35">
        <f t="shared" ref="O22:O26" si="18">O21+5</f>
        <v>20</v>
      </c>
      <c r="P22" s="32">
        <f t="shared" si="11"/>
        <v>0.83127518289727353</v>
      </c>
      <c r="Q22" s="63">
        <f t="shared" ca="1" si="12"/>
        <v>0.56580413012964059</v>
      </c>
      <c r="R22" s="63">
        <f t="shared" ca="1" si="13"/>
        <v>0.12823764275230159</v>
      </c>
      <c r="S22" s="65">
        <f t="shared" si="17"/>
        <v>10.375</v>
      </c>
      <c r="T22" s="36">
        <f t="shared" ca="1" si="14"/>
        <v>9.0445344564448718</v>
      </c>
      <c r="U22" s="37">
        <f t="shared" ca="1" si="15"/>
        <v>1980.7691641736922</v>
      </c>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row>
    <row r="23" spans="1:61" ht="15" customHeight="1">
      <c r="A23" s="34" t="s">
        <v>7</v>
      </c>
      <c r="B23" s="258">
        <v>998640</v>
      </c>
      <c r="C23" s="258">
        <v>795980</v>
      </c>
      <c r="D23" s="32">
        <f t="shared" si="16"/>
        <v>0.79706400704958746</v>
      </c>
      <c r="E23" s="135">
        <f t="shared" ca="1" si="10"/>
        <v>32.96050811424012</v>
      </c>
      <c r="F23" s="237">
        <v>25</v>
      </c>
      <c r="G23" s="32">
        <f ca="1">IF(AND(D23&gt;0,D23&lt;1,D24&gt;0,D24&lt;1),Modèles!L30+Modèles!M30*E23+Modèles!N30*D23+Modèles!O30*D24,NA())</f>
        <v>0.77698789775951238</v>
      </c>
      <c r="H23" s="32">
        <f>IF(Introduction!$D$11="SIDA",Modèles!G33,Modèles!C33)</f>
        <v>0.64857401363075629</v>
      </c>
      <c r="I23" s="36">
        <f ca="1">-0.5*LN(1+(G23/H23-1/IF(Introduction!$D$11="SIDA",Modèles!$G$28,Modèles!$C$28))/(1-G23))</f>
        <v>3.9590338543783448E-3</v>
      </c>
      <c r="J23" s="189">
        <f ca="1">IF(Introduction!$D$11="SIDA",1-(1+EXP(2*(I23+IF(Introduction!D$12="20q50",Modèles!$G$10,IF(Introduction!D$12="45q15",Modèles!$G$3,Modèles!$G$6)))))/(1+EXP(2*(I23+IF(Introduction!D$12="20q50",Modèles!$G$14,Modèles!$G$12)))),1-(1+EXP(2*(I23+IF(Introduction!D$12="20q50",Modèles!$B$31,IF(Introduction!D$12="45q15",Modèles!$B$24,Modèles!$B$27)))))/(1+EXP(2*(I23+IF(Introduction!D$12="20q50",Modèles!$B$35,Modèles!$B$33)))))</f>
        <v>0.23777146992139586</v>
      </c>
      <c r="K23" s="193">
        <f t="shared" ref="K23" ca="1" si="19">U23</f>
        <v>1979.0496386445379</v>
      </c>
      <c r="L23" s="20"/>
      <c r="M23" s="20"/>
      <c r="N23" s="34" t="s">
        <v>7</v>
      </c>
      <c r="O23" s="35">
        <f t="shared" si="18"/>
        <v>25</v>
      </c>
      <c r="P23" s="32">
        <f t="shared" si="11"/>
        <v>0.75419801012601828</v>
      </c>
      <c r="Q23" s="63">
        <f t="shared" ca="1" si="12"/>
        <v>0.46117861931750576</v>
      </c>
      <c r="R23" s="63">
        <f t="shared" ca="1" si="13"/>
        <v>0.1639565059728941</v>
      </c>
      <c r="S23" s="65">
        <f t="shared" si="17"/>
        <v>12.875</v>
      </c>
      <c r="T23" s="36">
        <f t="shared" ca="1" si="14"/>
        <v>10.764059985598989</v>
      </c>
      <c r="U23" s="37">
        <f t="shared" ca="1" si="15"/>
        <v>1979.0496386445379</v>
      </c>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row>
    <row r="24" spans="1:61" ht="15" customHeight="1">
      <c r="A24" s="34" t="s">
        <v>8</v>
      </c>
      <c r="B24" s="258">
        <v>837260</v>
      </c>
      <c r="C24" s="258">
        <v>597500</v>
      </c>
      <c r="D24" s="32">
        <f t="shared" si="16"/>
        <v>0.71363734084991515</v>
      </c>
      <c r="E24" s="135">
        <f t="shared" ca="1" si="10"/>
        <v>32.96050811424012</v>
      </c>
      <c r="F24" s="237">
        <v>30</v>
      </c>
      <c r="G24" s="32">
        <f ca="1">IF(AND(D24&gt;0,D24&lt;1,D25&gt;0,D25&lt;1),Modèles!L31+Modèles!M31*E24+Modèles!N31*D24+Modèles!O31*D25,NA())</f>
        <v>0.67161377324909255</v>
      </c>
      <c r="H24" s="32">
        <f>IF(Introduction!$D$11="SIDA",Modèles!G34,Modèles!C34)</f>
        <v>0.56571082144915019</v>
      </c>
      <c r="I24" s="36">
        <f ca="1">-0.5*LN(1+(G24/H24-1/IF(Introduction!$D$11="SIDA",Modèles!$G$28,Modèles!$C$28))/(1-G24))</f>
        <v>1.9482846127447002E-2</v>
      </c>
      <c r="J24" s="189">
        <f ca="1">IF(Introduction!$D$11="SIDA",1-(1+EXP(2*(I24+IF(Introduction!D$12="20q50",Modèles!$G$10,IF(Introduction!D$12="45q15",Modèles!$G$3,Modèles!$G$6)))))/(1+EXP(2*(I24+IF(Introduction!D$12="20q50",Modèles!$G$14,Modèles!$G$12)))),1-(1+EXP(2*(I24+IF(Introduction!D$12="20q50",Modèles!$B$31,IF(Introduction!D$12="45q15",Modèles!$B$24,Modèles!$B$27)))))/(1+EXP(2*(I24+IF(Introduction!D$12="20q50",Modèles!$B$35,Modèles!$B$33)))))</f>
        <v>0.24256752921655578</v>
      </c>
      <c r="K24" s="193">
        <f t="shared" ref="K24:K25" ca="1" si="20">IF(U24&gt;U23,NA(),U24)</f>
        <v>1977.5807870710366</v>
      </c>
      <c r="L24" s="20"/>
      <c r="M24" s="20"/>
      <c r="N24" s="34" t="s">
        <v>8</v>
      </c>
      <c r="O24" s="35">
        <f t="shared" si="18"/>
        <v>30</v>
      </c>
      <c r="P24" s="32">
        <f t="shared" si="11"/>
        <v>0.65824264728319337</v>
      </c>
      <c r="Q24" s="63">
        <f t="shared" ca="1" si="12"/>
        <v>0.35655310850537092</v>
      </c>
      <c r="R24" s="63">
        <f t="shared" ca="1" si="13"/>
        <v>0.20436347583087841</v>
      </c>
      <c r="S24" s="65">
        <f t="shared" si="17"/>
        <v>15.375</v>
      </c>
      <c r="T24" s="36">
        <f t="shared" ca="1" si="14"/>
        <v>12.232911559100245</v>
      </c>
      <c r="U24" s="37">
        <f t="shared" ca="1" si="15"/>
        <v>1977.5807870710366</v>
      </c>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row>
    <row r="25" spans="1:61" ht="15" customHeight="1">
      <c r="A25" s="34" t="s">
        <v>9</v>
      </c>
      <c r="B25" s="258">
        <v>571360</v>
      </c>
      <c r="C25" s="258">
        <v>346900</v>
      </c>
      <c r="D25" s="32">
        <f t="shared" si="16"/>
        <v>0.60714785774292912</v>
      </c>
      <c r="E25" s="135">
        <f t="shared" ca="1" si="10"/>
        <v>32.96050811424012</v>
      </c>
      <c r="F25" s="237">
        <v>35</v>
      </c>
      <c r="G25" s="32">
        <f ca="1">IF(AND(D25&gt;0,D25&lt;1,D26&gt;0,D26&lt;1),Modèles!L32+Modèles!M32*E25+Modèles!N32*D25+Modèles!O32*D26,NA())</f>
        <v>0.54702921239411195</v>
      </c>
      <c r="H25" s="32">
        <f>IF(Introduction!$D$11="SIDA",Modèles!G35,Modèles!C35)</f>
        <v>0.45955087928190458</v>
      </c>
      <c r="I25" s="36">
        <f ca="1">-0.5*LN(1+(G25/H25-1/IF(Introduction!$D$11="SIDA",Modèles!$G$28,Modèles!$C$28))/(1-G25))</f>
        <v>1.048161860294834E-2</v>
      </c>
      <c r="J25" s="189">
        <f ca="1">IF(Introduction!$D$11="SIDA",1-(1+EXP(2*(I25+IF(Introduction!D$12="20q50",Modèles!$G$10,IF(Introduction!D$12="45q15",Modèles!$G$3,Modèles!$G$6)))))/(1+EXP(2*(I25+IF(Introduction!D$12="20q50",Modèles!$G$14,Modèles!$G$12)))),1-(1+EXP(2*(I25+IF(Introduction!D$12="20q50",Modèles!$B$31,IF(Introduction!D$12="45q15",Modèles!$B$24,Modèles!$B$27)))))/(1+EXP(2*(I25+IF(Introduction!D$12="20q50",Modèles!$B$35,Modèles!$B$33)))))</f>
        <v>0.23978141208531834</v>
      </c>
      <c r="K25" s="193">
        <f t="shared" ca="1" si="20"/>
        <v>1976.5843762204918</v>
      </c>
      <c r="L25" s="20"/>
      <c r="M25" s="20"/>
      <c r="N25" s="34" t="s">
        <v>9</v>
      </c>
      <c r="O25" s="35">
        <f t="shared" si="18"/>
        <v>35</v>
      </c>
      <c r="P25" s="32">
        <f t="shared" si="11"/>
        <v>0.54940500113737389</v>
      </c>
      <c r="Q25" s="63">
        <f t="shared" ca="1" si="12"/>
        <v>0.25192759769323586</v>
      </c>
      <c r="R25" s="63">
        <f t="shared" ca="1" si="13"/>
        <v>0.25989804701285757</v>
      </c>
      <c r="S25" s="65">
        <f>(O25+0.75)/2</f>
        <v>17.875</v>
      </c>
      <c r="T25" s="36">
        <f t="shared" ca="1" si="14"/>
        <v>13.229322409645171</v>
      </c>
      <c r="U25" s="37">
        <f t="shared" ca="1" si="15"/>
        <v>1976.5843762204918</v>
      </c>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row>
    <row r="26" spans="1:61" ht="15" customHeight="1">
      <c r="A26" s="57" t="s">
        <v>10</v>
      </c>
      <c r="B26" s="199">
        <v>449720</v>
      </c>
      <c r="C26" s="199">
        <v>223580</v>
      </c>
      <c r="D26" s="32">
        <f t="shared" si="16"/>
        <v>0.49715378457707016</v>
      </c>
      <c r="E26" s="135">
        <f t="shared" ca="1" si="10"/>
        <v>32.96050811424012</v>
      </c>
      <c r="F26" s="237">
        <v>40</v>
      </c>
      <c r="G26" s="32">
        <f ca="1">IF(AND(D26&gt;0,D26&lt;1,D27&gt;0,D27&lt;1),Modèles!L33+Modèles!M33*E26+Modèles!N33*D26+Modèles!O33*D27,NA())</f>
        <v>0.3939034816708602</v>
      </c>
      <c r="H26" s="32">
        <f>IF(Introduction!$D$11="SIDA",Modèles!G36,Modèles!C36)</f>
        <v>0.33555954367971813</v>
      </c>
      <c r="I26" s="36">
        <f ca="1">-0.5*LN(1+(G26/H26-1/IF(Introduction!$D$11="SIDA",Modèles!$G$28,Modèles!$C$28))/(1-G26))</f>
        <v>2.1821056289195371E-2</v>
      </c>
      <c r="J26" s="189">
        <f ca="1">IF(Introduction!$D$11="SIDA",1-(1+EXP(2*(I26+IF(Introduction!D$12="20q50",Modèles!$G$10,IF(Introduction!D$12="45q15",Modèles!$G$3,Modèles!$G$6)))))/(1+EXP(2*(I26+IF(Introduction!D$12="20q50",Modèles!$G$14,Modèles!$G$12)))),1-(1+EXP(2*(I26+IF(Introduction!D$12="20q50",Modèles!$B$31,IF(Introduction!D$12="45q15",Modèles!$B$24,Modèles!$B$27)))))/(1+EXP(2*(I26+IF(Introduction!D$12="20q50",Modèles!$B$35,Modèles!$B$33)))))</f>
        <v>0.24329357863816481</v>
      </c>
      <c r="K26" s="193" t="e">
        <f ca="1">IF(U26&gt;U25,NA(),U26)</f>
        <v>#N/A</v>
      </c>
      <c r="L26" s="20"/>
      <c r="M26" s="20"/>
      <c r="N26" s="38" t="s">
        <v>10</v>
      </c>
      <c r="O26" s="39">
        <f t="shared" si="18"/>
        <v>40</v>
      </c>
      <c r="P26" s="33">
        <f t="shared" si="11"/>
        <v>0.43059008650167307</v>
      </c>
      <c r="Q26" s="64">
        <f t="shared" ca="1" si="12"/>
        <v>0.14730208688110102</v>
      </c>
      <c r="R26" s="64">
        <f t="shared" ca="1" si="13"/>
        <v>0.35755702373916637</v>
      </c>
      <c r="S26" s="66">
        <f t="shared" si="17"/>
        <v>20.375</v>
      </c>
      <c r="T26" s="40">
        <f t="shared" ca="1" si="14"/>
        <v>13.089775641314487</v>
      </c>
      <c r="U26" s="41">
        <f t="shared" ca="1" si="15"/>
        <v>1976.7239229888226</v>
      </c>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row>
    <row r="27" spans="1:61" ht="15" customHeight="1">
      <c r="A27" s="58" t="s">
        <v>11</v>
      </c>
      <c r="B27" s="188">
        <v>361400</v>
      </c>
      <c r="C27" s="188">
        <v>134780</v>
      </c>
      <c r="D27" s="33">
        <f t="shared" si="16"/>
        <v>0.37293857221914778</v>
      </c>
      <c r="E27" s="124"/>
      <c r="F27" s="124"/>
      <c r="G27" s="33"/>
      <c r="H27" s="33"/>
      <c r="I27" s="33"/>
      <c r="J27" s="33"/>
      <c r="K27" s="61"/>
      <c r="L27" s="20"/>
      <c r="M27" s="2"/>
      <c r="N27" s="2"/>
      <c r="O27" s="8"/>
      <c r="P27" s="11"/>
      <c r="R27" s="8"/>
      <c r="S27" s="12"/>
      <c r="T27" s="8"/>
      <c r="U27" s="9"/>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row>
    <row r="28" spans="1:61" ht="15" customHeight="1">
      <c r="A28" s="29"/>
      <c r="B28" s="5"/>
      <c r="D28" s="2"/>
      <c r="E28" s="2"/>
      <c r="F28" s="2"/>
      <c r="G28" s="23"/>
      <c r="H28" s="23"/>
      <c r="I28" s="23"/>
      <c r="J28" s="23"/>
      <c r="K28" s="23"/>
      <c r="L28" s="20"/>
      <c r="M28" s="2"/>
      <c r="N28" s="2"/>
      <c r="O28" s="296" t="s">
        <v>145</v>
      </c>
      <c r="P28" s="297"/>
      <c r="Q28" s="297"/>
      <c r="R28" s="297"/>
      <c r="S28" s="298"/>
      <c r="T28" s="242" t="s">
        <v>82</v>
      </c>
      <c r="U28" s="243" t="s">
        <v>83</v>
      </c>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row>
    <row r="29" spans="1:61" ht="15" customHeight="1">
      <c r="A29" s="15" t="s">
        <v>117</v>
      </c>
      <c r="B29" s="9"/>
      <c r="D29" s="2"/>
      <c r="E29" s="2"/>
      <c r="F29" s="2"/>
      <c r="G29" s="23"/>
      <c r="H29" s="97" t="s">
        <v>165</v>
      </c>
      <c r="I29" s="23"/>
      <c r="J29" s="23"/>
      <c r="L29" s="93" t="s">
        <v>51</v>
      </c>
      <c r="M29" s="200">
        <f>SQRT(B32*C32)</f>
        <v>1994.7227116797208</v>
      </c>
      <c r="N29" s="2"/>
      <c r="O29" s="229"/>
      <c r="P29" s="278" t="s">
        <v>147</v>
      </c>
      <c r="Q29" s="199">
        <v>20</v>
      </c>
      <c r="R29" s="228" t="s">
        <v>80</v>
      </c>
      <c r="S29" s="96">
        <f ca="1">INTERCEPT(INDIRECT(ADDRESS(ROW($K$33)+MATCH(TEXT($Q$29,"00")&amp;"-"&amp;TEXT($Q$29+4,"00"),$A$34:$A$37),COLUMN($K$33))):INDIRECT(ADDRESS(ROW($K$33)+MATCH(TEXT(Q30-4,"00")&amp;"-"&amp;TEXT(Q30,"00"),$A$34:$A$37),COLUMN($K$33))),INDIRECT(ADDRESS(ROW(Modèles!$D$33)+(Q29-20)/5,COLUMN(Modèles!$D$33),,,"Modèles")):INDIRECT(ADDRESS(ROW(Modèles!$D$33)+($Q$30-24)/5,COLUMN(Modèles!$D$33),,,"Modèles")))</f>
        <v>1.1168303130005053E-2</v>
      </c>
      <c r="T29" s="252">
        <f>Modèles!D33</f>
        <v>-1.1762449336785945</v>
      </c>
      <c r="U29" s="253">
        <f ca="1">$S$29+$S$30*T29</f>
        <v>-1.1239404826020771</v>
      </c>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row>
    <row r="30" spans="1:61" ht="15" customHeight="1">
      <c r="A30" s="141"/>
      <c r="B30" s="144"/>
      <c r="C30" s="83"/>
      <c r="D30" s="137"/>
      <c r="E30" s="294" t="s">
        <v>122</v>
      </c>
      <c r="F30" s="205"/>
      <c r="G30" s="137"/>
      <c r="H30" s="143"/>
      <c r="I30" s="54" t="s">
        <v>149</v>
      </c>
      <c r="J30" s="205" t="s">
        <v>151</v>
      </c>
      <c r="K30" s="42" t="s">
        <v>78</v>
      </c>
      <c r="L30" s="205" t="s">
        <v>129</v>
      </c>
      <c r="M30" s="294" t="s">
        <v>183</v>
      </c>
      <c r="N30" s="2"/>
      <c r="O30" s="230"/>
      <c r="P30" s="279" t="s">
        <v>146</v>
      </c>
      <c r="Q30" s="188">
        <v>34</v>
      </c>
      <c r="R30" s="231" t="s">
        <v>79</v>
      </c>
      <c r="S30" s="66">
        <f ca="1">SLOPE(INDIRECT(ADDRESS(ROW($K$33)+MATCH(TEXT($Q$29,"00")&amp;"-"&amp;TEXT($Q$29+4,"00"),$A$34:$A$37),COLUMN($K$33))):INDIRECT(ADDRESS(ROW($K$33)+MATCH(TEXT($Q$30-4,"00")&amp;"-"&amp;TEXT($Q$30,"00"),$A$34:$A$37),COLUMN($K$33))),INDIRECT(ADDRESS(ROW(Modèles!$D$33)+($Q$29-20)/5,COLUMN(Modèles!$D$33),,,"Modèles")):INDIRECT(ADDRESS(ROW(Modèles!$D$33)+($Q$30-24)/5,COLUMN(Modèles!$D$33),,,"Modèles")))</f>
        <v>0.96502756630979669</v>
      </c>
      <c r="T30" s="254">
        <f>Modèles!D36</f>
        <v>5.5182643976472066E-2</v>
      </c>
      <c r="U30" s="232">
        <f ca="1">$S$29+$S$30*T30</f>
        <v>6.4421075749159853E-2</v>
      </c>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row>
    <row r="31" spans="1:61" ht="15" customHeight="1">
      <c r="A31" s="155" t="s">
        <v>118</v>
      </c>
      <c r="B31" s="140"/>
      <c r="C31" s="54"/>
      <c r="D31" s="54" t="s">
        <v>2</v>
      </c>
      <c r="E31" s="305"/>
      <c r="F31" s="239"/>
      <c r="G31" s="54" t="s">
        <v>125</v>
      </c>
      <c r="H31" s="299" t="s">
        <v>81</v>
      </c>
      <c r="I31" s="54" t="s">
        <v>150</v>
      </c>
      <c r="J31" s="138" t="s">
        <v>57</v>
      </c>
      <c r="K31" s="155" t="s">
        <v>128</v>
      </c>
      <c r="L31" s="138" t="s">
        <v>57</v>
      </c>
      <c r="M31" s="305"/>
      <c r="N31" s="2"/>
      <c r="T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row>
    <row r="32" spans="1:61" ht="15" customHeight="1">
      <c r="A32" s="275" t="s">
        <v>119</v>
      </c>
      <c r="B32" s="121">
        <f>U15</f>
        <v>1989.813698630137</v>
      </c>
      <c r="C32" s="121">
        <f>U1</f>
        <v>1999.6438356164383</v>
      </c>
      <c r="D32" s="46" t="s">
        <v>58</v>
      </c>
      <c r="E32" s="306"/>
      <c r="F32" s="240" t="s">
        <v>13</v>
      </c>
      <c r="G32" s="46" t="s">
        <v>59</v>
      </c>
      <c r="H32" s="300"/>
      <c r="I32" s="46" t="s">
        <v>58</v>
      </c>
      <c r="J32" s="45" t="s">
        <v>62</v>
      </c>
      <c r="K32" s="209" t="s">
        <v>29</v>
      </c>
      <c r="L32" s="45" t="s">
        <v>62</v>
      </c>
      <c r="M32" s="123" t="str">
        <f>Introduction!$D$12</f>
        <v>30q30</v>
      </c>
      <c r="N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row>
    <row r="33" spans="1:61" ht="15" customHeight="1">
      <c r="A33" s="85" t="s">
        <v>6</v>
      </c>
      <c r="B33" s="86">
        <f>D22</f>
        <v>0.86695475343162176</v>
      </c>
      <c r="C33" s="86">
        <f>D8</f>
        <v>0.83684273565696488</v>
      </c>
      <c r="D33" s="86">
        <f t="shared" ref="D33:D38" si="21">SQRT(B33*C33)</f>
        <v>0.85176568817517406</v>
      </c>
      <c r="E33" s="86"/>
      <c r="F33" s="63"/>
      <c r="G33" s="87"/>
      <c r="H33" s="88" t="s">
        <v>77</v>
      </c>
      <c r="I33" s="89">
        <f>SQRT(D33*D34)</f>
        <v>0.81767224688898155</v>
      </c>
      <c r="J33" s="90" t="s">
        <v>45</v>
      </c>
      <c r="K33" s="87"/>
      <c r="L33" s="87"/>
      <c r="M33" s="87"/>
      <c r="N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row>
    <row r="34" spans="1:61" ht="15" customHeight="1">
      <c r="A34" s="85" t="s">
        <v>7</v>
      </c>
      <c r="B34" s="86">
        <f t="shared" ref="B34:B38" si="22">D23</f>
        <v>0.79706400704958746</v>
      </c>
      <c r="C34" s="86">
        <f t="shared" ref="C34:C38" si="23">D9</f>
        <v>0.77300721688642904</v>
      </c>
      <c r="D34" s="86">
        <f t="shared" si="21"/>
        <v>0.78494345641564955</v>
      </c>
      <c r="E34" s="135">
        <f ca="1">AVERAGE(E9,E23)</f>
        <v>32.96050811424012</v>
      </c>
      <c r="F34" s="237">
        <v>25</v>
      </c>
      <c r="G34" s="182">
        <f>LN(C34/B34)/(C$32-B$32)</f>
        <v>-3.1176168586301298E-3</v>
      </c>
      <c r="H34" s="89">
        <f>EXP(2.5*G34)</f>
        <v>0.99223625264253479</v>
      </c>
      <c r="I34" s="89">
        <f>D34*H34/I$33</f>
        <v>0.95252022640300071</v>
      </c>
      <c r="J34" s="89">
        <f ca="1">(Modèles!L38+Modèles!M38*E34+Modèles!N38*I34+Modèles!O38*I35)</f>
        <v>0.90518051389121235</v>
      </c>
      <c r="K34" s="80">
        <f ca="1">-0.5*LN($J34/(1-$J34))</f>
        <v>-1.1280797244318896</v>
      </c>
      <c r="L34" s="89">
        <f ca="1">1/(1+EXP(2*($S$29+$S$30*Modèles!D33)))</f>
        <v>0.90446759471802618</v>
      </c>
      <c r="M34" s="65">
        <f ca="1">IF(Introduction!$D$11="SIDA",1-(1+EXP(2*(-0.5*LN(1+(J34/Modèles!G33-1/Modèles!$G$32)/(1-J34))+IF(Introduction!D$12="20q50",Modèles!$G$10,IF(Introduction!D$12="45q15",Modèles!$G$3,Modèles!$G$6)))))/(1+EXP(2*(-0.5*LN(1+(J34/Modèles!G33-1/Modèles!$G$32)/(1-J34))+IF(Introduction!D$12="20q50",Modèles!$G$14,Modèles!$G$12)))),1-(1+EXP(2*(-0.5*LN(1+(J34/Modèles!C33-1/Modèles!$C$32)/(1-J34))+IF(Introduction!D$12="20q50",Modèles!$B$31,IF(Introduction!D$12="45q15",Modèles!$B$24,Modèles!$B$27)))))/(1+EXP(2*(-0.5*LN(1+(J34/Modèles!C33-1/Modèles!$C$32)/(1-J34))+IF(Introduction!D$12="20q50",Modèles!$B$35,Modèles!$B$33)))))</f>
        <v>0.25820817273889685</v>
      </c>
      <c r="N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row>
    <row r="35" spans="1:61" ht="15" customHeight="1">
      <c r="A35" s="85" t="s">
        <v>8</v>
      </c>
      <c r="B35" s="86">
        <f t="shared" si="22"/>
        <v>0.71363734084991515</v>
      </c>
      <c r="C35" s="86">
        <f t="shared" si="23"/>
        <v>0.70549465330553496</v>
      </c>
      <c r="D35" s="86">
        <f t="shared" si="21"/>
        <v>0.70955431671493252</v>
      </c>
      <c r="E35" s="135">
        <f t="shared" ref="E35:E37" ca="1" si="24">AVERAGE(E10,E24)</f>
        <v>32.96050811424012</v>
      </c>
      <c r="F35" s="237">
        <v>30</v>
      </c>
      <c r="G35" s="182">
        <f t="shared" ref="G35:G38" si="25">LN(C35/B35)/(C$32-B$32)</f>
        <v>-1.1674012947847407E-3</v>
      </c>
      <c r="H35" s="89">
        <f>H34*EXP(2.5*(G34+G35))</f>
        <v>0.98166360783191453</v>
      </c>
      <c r="I35" s="89">
        <f t="shared" ref="I35:I38" si="26">D35*H35/I$33</f>
        <v>0.85186167581111749</v>
      </c>
      <c r="J35" s="89">
        <f ca="1">(Modèles!L39+Modèles!M39*E35+Modèles!N39*I35+Modèles!O39*I36)</f>
        <v>0.78164011652377163</v>
      </c>
      <c r="K35" s="80">
        <f t="shared" ref="K35:K37" ca="1" si="27">-0.5*LN($J35/(1-$J35))</f>
        <v>-0.6376249411429068</v>
      </c>
      <c r="L35" s="89">
        <f ca="1">1/(1+EXP(2*($S$29+$S$30*Modèles!D34)))</f>
        <v>0.78487640356228416</v>
      </c>
      <c r="M35" s="65">
        <f ca="1">IF(Introduction!$D$11="SIDA",1-(1+EXP(2*(-0.5*LN(1+(J35/Modèles!G34-1/Modèles!$G$32)/(1-J35))+IF(Introduction!D$12="20q50",Modèles!$G$10,IF(Introduction!D$12="45q15",Modèles!$G$3,Modèles!$G$6)))))/(1+EXP(2*(-0.5*LN(1+(J35/Modèles!G34-1/Modèles!$G$32)/(1-J35))+IF(Introduction!D$12="20q50",Modèles!$G$14,Modèles!$G$12)))),1-(1+EXP(2*(-0.5*LN(1+(J35/Modèles!C34-1/Modèles!$C$32)/(1-J35))+IF(Introduction!D$12="20q50",Modèles!$B$31,IF(Introduction!D$12="45q15",Modèles!$B$24,Modèles!$B$27)))))/(1+EXP(2*(-0.5*LN(1+(J35/Modèles!C34-1/Modèles!$C$32)/(1-J35))+IF(Introduction!D$12="20q50",Modèles!$B$35,Modèles!$B$33)))))</f>
        <v>0.256526771432663</v>
      </c>
      <c r="N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row>
    <row r="36" spans="1:61" ht="15" customHeight="1">
      <c r="A36" s="85" t="s">
        <v>9</v>
      </c>
      <c r="B36" s="86">
        <f t="shared" si="22"/>
        <v>0.60714785774292912</v>
      </c>
      <c r="C36" s="86">
        <f t="shared" si="23"/>
        <v>0.60736006842155277</v>
      </c>
      <c r="D36" s="86">
        <f t="shared" si="21"/>
        <v>0.60725395381236069</v>
      </c>
      <c r="E36" s="135">
        <f t="shared" ca="1" si="24"/>
        <v>32.96050811424012</v>
      </c>
      <c r="F36" s="237">
        <v>35</v>
      </c>
      <c r="G36" s="182">
        <f t="shared" si="25"/>
        <v>3.5549812206903243E-5</v>
      </c>
      <c r="H36" s="89">
        <f t="shared" ref="H36:H37" si="28">H35*EXP(2.5*(G35+G36))</f>
        <v>0.978889790594345</v>
      </c>
      <c r="I36" s="89">
        <f t="shared" si="26"/>
        <v>0.72698406720618269</v>
      </c>
      <c r="J36" s="89">
        <f ca="1">(Modèles!L40+Modèles!M40*E36+Modèles!N40*I36+Modèles!O40*I37)</f>
        <v>0.63949167981061439</v>
      </c>
      <c r="K36" s="80">
        <f t="shared" ca="1" si="27"/>
        <v>-0.28657928721652109</v>
      </c>
      <c r="L36" s="89">
        <f ca="1">1/(1+EXP(2*($S$29+$S$30*Modèles!D35)))</f>
        <v>0.63700152415390165</v>
      </c>
      <c r="M36" s="65">
        <f ca="1">IF(Introduction!$D$11="SIDA",1-(1+EXP(2*(-0.5*LN(1+(J36/Modèles!G35-1/Modèles!$G$32)/(1-J36))+IF(Introduction!D$12="20q50",Modèles!$G$10,IF(Introduction!D$12="45q15",Modèles!$G$3,Modèles!$G$6)))))/(1+EXP(2*(-0.5*LN(1+(J36/Modèles!G35-1/Modèles!$G$32)/(1-J36))+IF(Introduction!D$12="20q50",Modèles!$G$14,Modèles!$G$12)))),1-(1+EXP(2*(-0.5*LN(1+(J36/Modèles!C35-1/Modèles!$C$32)/(1-J36))+IF(Introduction!D$12="20q50",Modèles!$B$31,IF(Introduction!D$12="45q15",Modèles!$B$24,Modèles!$B$27)))))/(1+EXP(2*(-0.5*LN(1+(J36/Modèles!C35-1/Modèles!$C$32)/(1-J36))+IF(Introduction!D$12="20q50",Modèles!$B$35,Modèles!$B$33)))))</f>
        <v>0.24372386064202078</v>
      </c>
      <c r="N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row>
    <row r="37" spans="1:61" ht="15" customHeight="1">
      <c r="A37" s="85" t="s">
        <v>10</v>
      </c>
      <c r="B37" s="86">
        <f t="shared" si="22"/>
        <v>0.49715378457707016</v>
      </c>
      <c r="C37" s="86">
        <f t="shared" si="23"/>
        <v>0.51979977753058959</v>
      </c>
      <c r="D37" s="86">
        <f t="shared" si="21"/>
        <v>0.50835069255549525</v>
      </c>
      <c r="E37" s="135">
        <f t="shared" ca="1" si="24"/>
        <v>32.96050811424012</v>
      </c>
      <c r="F37" s="237">
        <v>40</v>
      </c>
      <c r="G37" s="182">
        <f t="shared" si="25"/>
        <v>4.5314007664606862E-3</v>
      </c>
      <c r="H37" s="89">
        <f t="shared" si="28"/>
        <v>0.99013018966250366</v>
      </c>
      <c r="I37" s="89">
        <f t="shared" si="26"/>
        <v>0.61556860899961185</v>
      </c>
      <c r="J37" s="89">
        <f ca="1">(Modèles!L41+Modèles!M41*E37+Modèles!N41*I37+Modèles!O41*I38)</f>
        <v>0.48597819572307077</v>
      </c>
      <c r="K37" s="80">
        <f t="shared" ca="1" si="27"/>
        <v>2.8050963600484761E-2</v>
      </c>
      <c r="L37" s="89">
        <f ca="1">1/(1+EXP(2*($S$29+$S$30*Modèles!D36)))</f>
        <v>0.46783394699665559</v>
      </c>
      <c r="M37" s="65">
        <f ca="1">IF(Introduction!$D$11="SIDA",1-(1+EXP(2*(-0.5*LN(1+(J37/Modèles!G36-1/Modèles!$G$32)/(1-J37))+IF(Introduction!D$12="20q50",Modèles!$G$10,IF(Introduction!D$12="45q15",Modèles!$G$3,Modèles!$G$6)))))/(1+EXP(2*(-0.5*LN(1+(J37/Modèles!G36-1/Modèles!$G$32)/(1-J37))+IF(Introduction!D$12="20q50",Modèles!$G$14,Modèles!$G$12)))),1-(1+EXP(2*(-0.5*LN(1+(J37/Modèles!C36-1/Modèles!$C$32)/(1-J37))+IF(Introduction!D$12="20q50",Modèles!$B$31,IF(Introduction!D$12="45q15",Modèles!$B$24,Modèles!$B$27)))))/(1+EXP(2*(-0.5*LN(1+(J37/Modèles!C36-1/Modèles!$C$32)/(1-J37))+IF(Introduction!D$12="20q50",Modèles!$B$35,Modèles!$B$33)))))</f>
        <v>0.22509376307401008</v>
      </c>
      <c r="N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row>
    <row r="38" spans="1:61" ht="15" customHeight="1">
      <c r="A38" s="84" t="s">
        <v>11</v>
      </c>
      <c r="B38" s="73">
        <f t="shared" si="22"/>
        <v>0.37293857221914778</v>
      </c>
      <c r="C38" s="73">
        <f t="shared" si="23"/>
        <v>0.39528643098821609</v>
      </c>
      <c r="D38" s="73">
        <f t="shared" si="21"/>
        <v>0.38394994099536983</v>
      </c>
      <c r="E38" s="134">
        <f ca="1">E37</f>
        <v>32.96050811424012</v>
      </c>
      <c r="F38" s="134"/>
      <c r="G38" s="183">
        <f t="shared" si="25"/>
        <v>5.9202555970704097E-3</v>
      </c>
      <c r="H38" s="64">
        <f>H37*EXP(2.5*(G37+G38))</f>
        <v>1.016342400877136</v>
      </c>
      <c r="I38" s="64">
        <f t="shared" si="26"/>
        <v>0.47723841225205621</v>
      </c>
      <c r="J38" s="64"/>
      <c r="K38" s="66"/>
      <c r="L38" s="66"/>
      <c r="M38" s="66"/>
      <c r="N38" s="2"/>
      <c r="O38" s="16"/>
      <c r="P38" s="72"/>
      <c r="Q38" s="72"/>
      <c r="R38" s="72"/>
      <c r="S38" s="7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row>
    <row r="39" spans="1:61" ht="15" customHeight="1">
      <c r="A39" s="72"/>
      <c r="B39" s="72"/>
      <c r="C39" s="72"/>
      <c r="D39" s="91"/>
      <c r="E39" s="91"/>
      <c r="F39" s="91"/>
      <c r="G39" s="92"/>
      <c r="H39" s="92"/>
      <c r="I39" s="76"/>
      <c r="L39" s="241" t="str">
        <f>"Moyenne des valeurs de "&amp;Introduction!D12&amp;" sur les points ajustés"</f>
        <v>Moyenne des valeurs de 30q30 sur les points ajustés</v>
      </c>
      <c r="M39" s="189">
        <f ca="1">5*SUM((INDIRECT(ADDRESS(ROW($M$33)+MATCH(TEXT($Q$29,"00")&amp;"-"&amp;TEXT($Q$29+4,"00"),$A$34:$A$37),COLUMN($M$33))):INDIRECT(ADDRESS(ROW($M$33)+MATCH(TEXT($Q$30-4,"00")&amp;"-"&amp;TEXT($Q$30,"00"),$A$34:$A$37),COLUMN($M$33)))))/($Q$30+1-$Q$29)</f>
        <v>0.25281960160452688</v>
      </c>
      <c r="N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row>
    <row r="40" spans="1:61" ht="15" customHeight="1">
      <c r="A40" s="28"/>
      <c r="B40" s="9"/>
      <c r="D40" s="2"/>
      <c r="E40" s="2"/>
      <c r="F40" s="2"/>
      <c r="G40" s="23"/>
      <c r="H40" s="23"/>
      <c r="I40" s="23"/>
      <c r="L40" s="150"/>
      <c r="M40" s="2"/>
      <c r="N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row>
    <row r="41" spans="1:61" ht="15" customHeight="1">
      <c r="A41" s="26" t="s">
        <v>130</v>
      </c>
      <c r="B41" s="4"/>
      <c r="C41" s="4"/>
      <c r="D41" s="4"/>
      <c r="E41" s="4"/>
      <c r="F41" s="4"/>
      <c r="G41" s="22"/>
      <c r="H41" s="2"/>
      <c r="L41" s="2"/>
      <c r="M41" s="2"/>
      <c r="N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row>
    <row r="42" spans="1:61" ht="15" customHeight="1">
      <c r="A42" s="4"/>
      <c r="B42" s="262" t="s">
        <v>38</v>
      </c>
      <c r="C42" s="24">
        <f>MBAR</f>
        <v>26.750483870967741</v>
      </c>
      <c r="D42" s="263"/>
      <c r="E42" s="263"/>
      <c r="F42" s="263"/>
      <c r="G42" s="22"/>
      <c r="H42" s="2"/>
      <c r="M42" s="2"/>
      <c r="N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row>
    <row r="43" spans="1:61" ht="15" customHeight="1">
      <c r="A43" s="167"/>
      <c r="B43" s="264" t="s">
        <v>152</v>
      </c>
      <c r="C43" s="265">
        <f ca="1">E65-G65</f>
        <v>6.2100242432723789</v>
      </c>
      <c r="D43" s="167"/>
      <c r="E43" s="167"/>
      <c r="F43" s="167"/>
      <c r="G43" s="266"/>
      <c r="H43" s="2"/>
      <c r="I43" s="2"/>
      <c r="J43" s="2"/>
      <c r="K43" s="2"/>
      <c r="M43" s="2"/>
      <c r="N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row>
    <row r="44" spans="1:61" ht="15" customHeight="1">
      <c r="A44" s="167"/>
      <c r="B44" s="262" t="s">
        <v>39</v>
      </c>
      <c r="C44" s="198">
        <f ca="1">C42+C43</f>
        <v>32.96050811424012</v>
      </c>
      <c r="D44" s="167"/>
      <c r="E44" s="167"/>
      <c r="F44" s="167"/>
      <c r="G44" s="4"/>
      <c r="H44" s="2"/>
      <c r="I44" s="2"/>
      <c r="J44" s="2"/>
      <c r="K44" s="2"/>
      <c r="M44" s="2"/>
      <c r="N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row>
    <row r="45" spans="1:61" ht="15" customHeight="1">
      <c r="A45" s="167"/>
      <c r="B45" s="167"/>
      <c r="C45" s="167"/>
      <c r="D45" s="167"/>
      <c r="E45" s="167"/>
      <c r="F45" s="167"/>
      <c r="G45" s="4"/>
      <c r="H45" s="2"/>
      <c r="I45" s="2"/>
      <c r="J45" s="2"/>
      <c r="K45" s="2"/>
      <c r="M45" s="2"/>
      <c r="N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row>
    <row r="46" spans="1:61" ht="15" customHeight="1">
      <c r="A46" s="26" t="s">
        <v>153</v>
      </c>
      <c r="B46" s="167"/>
      <c r="C46" s="167"/>
      <c r="D46" s="167"/>
      <c r="E46" s="167"/>
      <c r="F46" s="167"/>
      <c r="G46" s="167"/>
      <c r="H46" s="2"/>
      <c r="I46" s="2"/>
      <c r="J46" s="2"/>
      <c r="M46" s="2"/>
      <c r="N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row>
    <row r="47" spans="1:61" ht="15" customHeight="1">
      <c r="A47" s="103" t="s">
        <v>56</v>
      </c>
      <c r="B47" s="167"/>
      <c r="C47" s="167"/>
      <c r="D47" s="167"/>
      <c r="E47" s="167"/>
      <c r="F47" s="167"/>
      <c r="G47" s="167"/>
      <c r="H47" s="2"/>
      <c r="I47" s="2"/>
      <c r="J47" s="2"/>
      <c r="K47" s="2"/>
      <c r="M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row>
    <row r="48" spans="1:61" ht="15" customHeight="1">
      <c r="A48" s="83"/>
      <c r="B48" s="83"/>
      <c r="C48" s="307" t="s">
        <v>154</v>
      </c>
      <c r="D48" s="307" t="s">
        <v>155</v>
      </c>
      <c r="E48" s="309" t="s">
        <v>156</v>
      </c>
      <c r="F48" s="207"/>
      <c r="G48" s="309" t="s">
        <v>157</v>
      </c>
      <c r="H48" s="2"/>
      <c r="I48" s="2"/>
      <c r="J48" s="2"/>
      <c r="K48" s="2"/>
      <c r="L48" s="2"/>
      <c r="M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row>
    <row r="49" spans="1:61" ht="15" customHeight="1">
      <c r="A49" s="303" t="s">
        <v>184</v>
      </c>
      <c r="B49" s="303"/>
      <c r="C49" s="308"/>
      <c r="D49" s="306"/>
      <c r="E49" s="310"/>
      <c r="F49" s="208"/>
      <c r="G49" s="310"/>
      <c r="H49" s="2"/>
      <c r="I49" s="2"/>
      <c r="J49" s="2"/>
      <c r="K49" s="2"/>
      <c r="L49" s="2"/>
      <c r="M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row>
    <row r="50" spans="1:61" ht="15" customHeight="1">
      <c r="A50" s="129">
        <v>10</v>
      </c>
      <c r="B50" s="128">
        <v>14</v>
      </c>
      <c r="C50" s="257">
        <v>2800</v>
      </c>
      <c r="D50" s="257">
        <v>6680</v>
      </c>
      <c r="E50" s="259">
        <f>SUM(C$50:C50)/C$65</f>
        <v>9.5547487101089242E-4</v>
      </c>
      <c r="F50" s="259"/>
      <c r="G50" s="259">
        <f>SUM(D$50:D50)/D$65</f>
        <v>1.8698076449380836E-3</v>
      </c>
      <c r="I50" s="2"/>
      <c r="J50" s="2"/>
      <c r="K50" s="2"/>
      <c r="L50" s="2"/>
      <c r="M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row>
    <row r="51" spans="1:61" ht="15" customHeight="1">
      <c r="A51" s="129">
        <v>15</v>
      </c>
      <c r="B51" s="128">
        <v>19</v>
      </c>
      <c r="C51" s="257">
        <v>18040</v>
      </c>
      <c r="D51" s="257">
        <v>212060</v>
      </c>
      <c r="E51" s="259">
        <f>SUM(C$50:C51)/C$65</f>
        <v>7.1114629685239275E-3</v>
      </c>
      <c r="F51" s="259"/>
      <c r="G51" s="259">
        <f>SUM(D$50:D51)/D$65</f>
        <v>6.1227803031999463E-2</v>
      </c>
      <c r="I51" s="2"/>
      <c r="J51" s="2"/>
      <c r="K51" s="2"/>
      <c r="L51" s="2"/>
      <c r="M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row>
    <row r="52" spans="1:61" ht="15" customHeight="1">
      <c r="A52" s="129">
        <v>20</v>
      </c>
      <c r="B52" s="128">
        <v>24</v>
      </c>
      <c r="C52" s="257">
        <v>173840</v>
      </c>
      <c r="D52" s="257">
        <v>623040</v>
      </c>
      <c r="E52" s="259">
        <f>SUM(C$50:C52)/C$65</f>
        <v>6.6432802817285905E-2</v>
      </c>
      <c r="F52" s="259"/>
      <c r="G52" s="259">
        <f>SUM(D$50:D52)/D$65</f>
        <v>0.23562375439460778</v>
      </c>
      <c r="I52" s="2"/>
      <c r="J52" s="2"/>
      <c r="K52" s="2"/>
      <c r="L52" s="2"/>
      <c r="M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row>
    <row r="53" spans="1:61" ht="15" customHeight="1">
      <c r="A53" s="129">
        <v>25</v>
      </c>
      <c r="B53" s="128">
        <v>29</v>
      </c>
      <c r="C53" s="257">
        <v>464720</v>
      </c>
      <c r="D53" s="257">
        <v>670760</v>
      </c>
      <c r="E53" s="259">
        <f>SUM(C$50:C53)/C$65</f>
        <v>0.22501433212306515</v>
      </c>
      <c r="F53" s="259"/>
      <c r="G53" s="259">
        <f>SUM(D$50:D53)/D$65</f>
        <v>0.42337707414291154</v>
      </c>
      <c r="I53" s="2"/>
      <c r="J53" s="2"/>
      <c r="K53" s="2"/>
      <c r="L53" s="2"/>
      <c r="M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row>
    <row r="54" spans="1:61" ht="15" customHeight="1">
      <c r="A54" s="129">
        <v>30</v>
      </c>
      <c r="B54" s="128">
        <v>34</v>
      </c>
      <c r="C54" s="257">
        <v>479460</v>
      </c>
      <c r="D54" s="257">
        <v>487180</v>
      </c>
      <c r="E54" s="259">
        <f>SUM(C$50:C54)/C$65</f>
        <v>0.38862575414266604</v>
      </c>
      <c r="F54" s="259"/>
      <c r="G54" s="259">
        <f>SUM(D$50:D54)/D$65</f>
        <v>0.55974427301430907</v>
      </c>
      <c r="I54" s="2"/>
      <c r="J54" s="2"/>
      <c r="K54" s="2"/>
      <c r="L54" s="2"/>
      <c r="M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row>
    <row r="55" spans="1:61" ht="15" customHeight="1">
      <c r="A55" s="129">
        <v>35</v>
      </c>
      <c r="B55" s="128">
        <v>39</v>
      </c>
      <c r="C55" s="257">
        <v>406000</v>
      </c>
      <c r="D55" s="257">
        <v>387000</v>
      </c>
      <c r="E55" s="259">
        <f>SUM(C$50:C55)/C$65</f>
        <v>0.52716961043924548</v>
      </c>
      <c r="F55" s="259"/>
      <c r="G55" s="259">
        <f>SUM(D$50:D55)/D$65</f>
        <v>0.6680699554381172</v>
      </c>
      <c r="I55" s="2"/>
      <c r="J55" s="2"/>
      <c r="K55" s="2"/>
      <c r="L55" s="2"/>
      <c r="M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row>
    <row r="56" spans="1:61" ht="15" customHeight="1">
      <c r="A56" s="129">
        <v>40</v>
      </c>
      <c r="B56" s="128">
        <v>44</v>
      </c>
      <c r="C56" s="257">
        <v>330140</v>
      </c>
      <c r="D56" s="257">
        <v>305500</v>
      </c>
      <c r="E56" s="259">
        <f>SUM(C$50:C56)/C$65</f>
        <v>0.63982692255193685</v>
      </c>
      <c r="F56" s="259"/>
      <c r="G56" s="259">
        <f>SUM(D$50:D56)/D$65</f>
        <v>0.75358286494838433</v>
      </c>
      <c r="I56" s="2"/>
      <c r="J56" s="2"/>
      <c r="K56" s="2"/>
      <c r="L56" s="2"/>
      <c r="M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row>
    <row r="57" spans="1:61" ht="15" customHeight="1">
      <c r="A57" s="129">
        <v>45</v>
      </c>
      <c r="B57" s="128">
        <v>49</v>
      </c>
      <c r="C57" s="257">
        <v>250540</v>
      </c>
      <c r="D57" s="257">
        <v>243120</v>
      </c>
      <c r="E57" s="259">
        <f>SUM(C$50:C57)/C$65</f>
        <v>0.72532144904589013</v>
      </c>
      <c r="F57" s="259"/>
      <c r="G57" s="259">
        <f>SUM(D$50:D57)/D$65</f>
        <v>0.8216349060617596</v>
      </c>
      <c r="I57" s="2"/>
      <c r="J57" s="2"/>
      <c r="K57" s="2"/>
      <c r="L57" s="2"/>
      <c r="M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row>
    <row r="58" spans="1:61" ht="15" customHeight="1">
      <c r="A58" s="129">
        <v>50</v>
      </c>
      <c r="B58" s="128">
        <v>54</v>
      </c>
      <c r="C58" s="257">
        <v>212820</v>
      </c>
      <c r="D58" s="257">
        <v>189240</v>
      </c>
      <c r="E58" s="259">
        <f>SUM(C$50:C58)/C$65</f>
        <v>0.79794436406322511</v>
      </c>
      <c r="F58" s="259"/>
      <c r="G58" s="259">
        <f>SUM(D$50:D58)/D$65</f>
        <v>0.87460532503302957</v>
      </c>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row>
    <row r="59" spans="1:61" ht="15" customHeight="1">
      <c r="A59" s="129">
        <v>55</v>
      </c>
      <c r="B59" s="128">
        <v>59</v>
      </c>
      <c r="C59" s="257">
        <v>161760</v>
      </c>
      <c r="D59" s="257">
        <v>137120</v>
      </c>
      <c r="E59" s="259">
        <f>SUM(C$50:C59)/C$65</f>
        <v>0.8531435123256258</v>
      </c>
      <c r="F59" s="259"/>
      <c r="G59" s="259">
        <f>SUM(D$50:D59)/D$65</f>
        <v>0.91298676579259685</v>
      </c>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row>
    <row r="60" spans="1:61" ht="15" customHeight="1">
      <c r="A60" s="129">
        <v>60</v>
      </c>
      <c r="B60" s="128">
        <v>64</v>
      </c>
      <c r="C60" s="257">
        <v>135060</v>
      </c>
      <c r="D60" s="257">
        <v>113860</v>
      </c>
      <c r="E60" s="259">
        <f>SUM(C$50:C60)/C$65</f>
        <v>0.89923152521088701</v>
      </c>
      <c r="F60" s="259"/>
      <c r="G60" s="259">
        <f>SUM(D$50:D60)/D$65</f>
        <v>0.94485746915377211</v>
      </c>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row>
    <row r="61" spans="1:61" ht="15" customHeight="1">
      <c r="A61" s="129">
        <v>65</v>
      </c>
      <c r="B61" s="128">
        <v>69</v>
      </c>
      <c r="C61" s="257">
        <v>101860</v>
      </c>
      <c r="D61" s="257">
        <v>75540</v>
      </c>
      <c r="E61" s="259">
        <f>SUM(C$50:C61)/C$65</f>
        <v>0.93399033605416182</v>
      </c>
      <c r="F61" s="259"/>
      <c r="G61" s="259">
        <f>SUM(D$50:D61)/D$65</f>
        <v>0.96600197057572157</v>
      </c>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row>
    <row r="62" spans="1:61" ht="15" customHeight="1">
      <c r="A62" s="129">
        <v>70</v>
      </c>
      <c r="B62" s="128">
        <v>74</v>
      </c>
      <c r="C62" s="257">
        <v>72080</v>
      </c>
      <c r="D62" s="257">
        <v>49980</v>
      </c>
      <c r="E62" s="259">
        <f>SUM(C$50:C62)/C$65</f>
        <v>0.95858698916218499</v>
      </c>
      <c r="F62" s="259"/>
      <c r="G62" s="259">
        <f>SUM(D$50:D62)/D$65</f>
        <v>0.97999193855386613</v>
      </c>
      <c r="I62" s="99"/>
      <c r="J62" s="3"/>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row>
    <row r="63" spans="1:61" ht="15" customHeight="1">
      <c r="A63" s="129">
        <v>75</v>
      </c>
      <c r="B63" s="128">
        <v>79</v>
      </c>
      <c r="C63" s="257">
        <v>56240</v>
      </c>
      <c r="D63" s="257">
        <v>30100</v>
      </c>
      <c r="E63" s="259">
        <f>SUM(C$50:C63)/C$65</f>
        <v>0.97777838442848952</v>
      </c>
      <c r="F63" s="259"/>
      <c r="G63" s="259">
        <f>SUM(D$50:D63)/D$65</f>
        <v>0.98841726940905117</v>
      </c>
      <c r="I63" s="99"/>
      <c r="J63" s="3"/>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row>
    <row r="64" spans="1:61" ht="15" customHeight="1">
      <c r="A64" s="129">
        <v>80</v>
      </c>
      <c r="B64" s="149" t="s">
        <v>72</v>
      </c>
      <c r="C64" s="257">
        <v>65120</v>
      </c>
      <c r="D64" s="257">
        <v>41380</v>
      </c>
      <c r="E64" s="259">
        <f>SUM(C$50:C64)/C$65</f>
        <v>1</v>
      </c>
      <c r="F64" s="259"/>
      <c r="G64" s="259">
        <f>SUM(D$50:D64)/D$65</f>
        <v>1</v>
      </c>
      <c r="I64" s="99"/>
      <c r="J64" s="3"/>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row>
    <row r="65" spans="1:61" ht="15" customHeight="1">
      <c r="A65" s="304" t="s">
        <v>1</v>
      </c>
      <c r="B65" s="304"/>
      <c r="C65" s="261">
        <f>SUM(C50:C64)</f>
        <v>2930480</v>
      </c>
      <c r="D65" s="261">
        <f>SUM(D50:D64)</f>
        <v>3572560</v>
      </c>
      <c r="E65" s="260">
        <f ca="1">INDEX($A$50:$A$64,MATCH(0.5,E$50:E$64,1),1)+2.5+5*(0.5-OFFSET(E$50,MATCH(0.5,E$50:E$64,1)-1,0))/(OFFSET(E$50,MATCH(0.5,E$50:E$64,1),0)-OFFSET(E$50,MATCH(0.5,E$50:E$64,1)-1,0))</f>
        <v>36.519458128078817</v>
      </c>
      <c r="F65" s="260"/>
      <c r="G65" s="260">
        <f ca="1">INDEX($A$50:$A$64,MATCH(0.5,G$50:G$64,1),1)+2.5+5*(0.5-OFFSET(G$50,MATCH(0.5,G$50:G$64,1)-1,0))/(OFFSET(G$50,MATCH(0.5,G$50:G$64,1),0)-OFFSET(G$50,MATCH(0.5,G$50:G$64,1)-1,0))</f>
        <v>30.309433884806438</v>
      </c>
      <c r="I65" s="99"/>
      <c r="J65" s="3"/>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row>
    <row r="66" spans="1:61" ht="15" customHeight="1">
      <c r="I66" s="99"/>
      <c r="J66" s="3"/>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row>
    <row r="67" spans="1:61" ht="15" customHeight="1">
      <c r="A67" s="2"/>
      <c r="B67" s="2"/>
      <c r="C67" s="2"/>
      <c r="D67" s="2"/>
      <c r="E67" s="2"/>
      <c r="F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row>
    <row r="68" spans="1:61" ht="15" customHeight="1">
      <c r="A68" s="2"/>
      <c r="B68" s="2"/>
      <c r="C68" s="2"/>
      <c r="D68" s="2"/>
      <c r="E68" s="2"/>
      <c r="F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row>
    <row r="69" spans="1:61" ht="15" customHeight="1">
      <c r="A69" s="2"/>
      <c r="B69" s="2"/>
      <c r="C69" s="2"/>
      <c r="D69" s="2"/>
      <c r="E69" s="2"/>
      <c r="F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row>
    <row r="70" spans="1:61" ht="15" customHeight="1">
      <c r="A70" s="2"/>
      <c r="B70" s="2"/>
      <c r="C70" s="2"/>
      <c r="D70" s="2"/>
      <c r="E70" s="2"/>
      <c r="F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row>
    <row r="71" spans="1:61" ht="15" customHeight="1">
      <c r="A71" s="2"/>
      <c r="B71" s="2"/>
      <c r="C71" s="2"/>
      <c r="D71" s="2"/>
      <c r="E71" s="2"/>
      <c r="F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row>
    <row r="72" spans="1:61" ht="15" customHeight="1">
      <c r="A72" s="2"/>
      <c r="B72" s="2"/>
      <c r="C72" s="2"/>
      <c r="D72" s="2"/>
      <c r="E72" s="2"/>
      <c r="F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row>
    <row r="73" spans="1:61" ht="15" customHeight="1">
      <c r="A73" s="2"/>
      <c r="B73" s="2"/>
      <c r="C73" s="2"/>
      <c r="D73" s="2"/>
      <c r="E73" s="2"/>
      <c r="F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row>
    <row r="74" spans="1:61" ht="15" customHeight="1">
      <c r="A74" s="2"/>
      <c r="B74" s="2"/>
      <c r="C74" s="2"/>
      <c r="D74" s="2"/>
      <c r="E74" s="2"/>
      <c r="F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row>
    <row r="75" spans="1:61" ht="15" customHeight="1">
      <c r="A75" s="2"/>
      <c r="B75" s="2"/>
      <c r="C75" s="2"/>
      <c r="D75" s="2"/>
      <c r="E75" s="2"/>
      <c r="F75" s="2"/>
      <c r="G75" s="2"/>
      <c r="H75" s="2"/>
      <c r="I75" s="2"/>
      <c r="J75" s="2"/>
      <c r="K75" s="10"/>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row>
    <row r="76" spans="1:61">
      <c r="A76" s="2"/>
      <c r="B76" s="2"/>
      <c r="C76" s="2"/>
      <c r="D76" s="2"/>
      <c r="E76" s="2"/>
      <c r="F76" s="2"/>
      <c r="G76" s="2"/>
      <c r="H76" s="2"/>
      <c r="I76" s="13"/>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row>
    <row r="77" spans="1:61">
      <c r="A77" s="2"/>
      <c r="B77" s="2"/>
      <c r="C77" s="2"/>
      <c r="D77" s="2"/>
      <c r="E77" s="2"/>
      <c r="F77" s="2"/>
      <c r="G77" s="7"/>
      <c r="H77" s="7"/>
      <c r="I77" s="7"/>
      <c r="J77" s="7"/>
      <c r="K77" s="2"/>
      <c r="L77" s="10"/>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row>
    <row r="78" spans="1:61">
      <c r="A78" s="2"/>
      <c r="B78" s="2"/>
      <c r="C78" s="2"/>
      <c r="D78" s="2"/>
      <c r="E78" s="2"/>
      <c r="F78" s="2"/>
      <c r="G78" s="7"/>
      <c r="H78" s="7"/>
      <c r="I78" s="7"/>
      <c r="J78" s="7"/>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row>
    <row r="79" spans="1:61">
      <c r="A79" s="2"/>
      <c r="B79" s="2"/>
      <c r="C79" s="2"/>
      <c r="D79" s="2"/>
      <c r="E79" s="2"/>
      <c r="F79" s="2"/>
      <c r="G79" s="7"/>
      <c r="H79" s="7"/>
      <c r="I79" s="7"/>
      <c r="J79" s="7"/>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row>
    <row r="80" spans="1:61">
      <c r="A80" s="2"/>
      <c r="B80" s="2"/>
      <c r="C80" s="2"/>
      <c r="D80" s="2"/>
      <c r="E80" s="2"/>
      <c r="F80" s="2"/>
      <c r="G80" s="7"/>
      <c r="H80" s="7"/>
      <c r="I80" s="7"/>
      <c r="J80" s="7"/>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row>
    <row r="81" spans="1:61">
      <c r="A81" s="2"/>
      <c r="B81" s="2"/>
      <c r="C81" s="2"/>
      <c r="D81" s="2"/>
      <c r="E81" s="2"/>
      <c r="F81" s="2"/>
      <c r="G81" s="7"/>
      <c r="H81" s="7"/>
      <c r="I81" s="7"/>
      <c r="J81" s="7"/>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row>
    <row r="82" spans="1:6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row>
    <row r="83" spans="1:6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row>
    <row r="84" spans="1:6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row>
    <row r="85" spans="1:6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row>
    <row r="86" spans="1:6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row>
    <row r="87" spans="1:6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row>
    <row r="88" spans="1:6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row>
    <row r="89" spans="1:6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row>
    <row r="90" spans="1:6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row>
    <row r="91" spans="1:6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row>
    <row r="92" spans="1:6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row>
    <row r="93" spans="1:6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row>
    <row r="94" spans="1:6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row>
    <row r="95" spans="1:6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row>
    <row r="96" spans="1:6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row>
    <row r="97" spans="1:6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row>
    <row r="98" spans="1:6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row>
    <row r="99" spans="1:6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row>
    <row r="100" spans="1:6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row>
    <row r="101" spans="1:6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row>
    <row r="102" spans="1:6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row>
    <row r="103" spans="1:6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row>
    <row r="104" spans="1:6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row>
    <row r="105" spans="1:6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row>
    <row r="106" spans="1:6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row>
    <row r="107" spans="1:6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row>
    <row r="108" spans="1:6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row>
    <row r="109" spans="1:6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row>
    <row r="110" spans="1:6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row>
    <row r="111" spans="1:6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row>
    <row r="112" spans="1:6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row>
    <row r="113" spans="1:6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row>
    <row r="114" spans="1:6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row>
    <row r="115" spans="1:6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row>
    <row r="116" spans="1:6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row>
    <row r="117" spans="1:6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row>
    <row r="118" spans="1:6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row>
    <row r="119" spans="1:6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row>
    <row r="120" spans="1:6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row>
    <row r="121" spans="1:6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row>
    <row r="122" spans="1:6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row>
    <row r="123" spans="1:6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row>
    <row r="124" spans="1:61">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row>
    <row r="125" spans="1:61">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row>
    <row r="126" spans="1:61">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row>
    <row r="127" spans="1:61">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row>
    <row r="128" spans="1:61">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row>
    <row r="129" spans="7:61">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row>
    <row r="130" spans="7:61">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row>
    <row r="131" spans="7:61">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row>
    <row r="132" spans="7:61">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row>
    <row r="133" spans="7:61">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row>
    <row r="134" spans="7:61">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row>
    <row r="135" spans="7:61">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row>
    <row r="136" spans="7:61">
      <c r="G136" s="2"/>
      <c r="H136" s="2"/>
      <c r="I136" s="2"/>
      <c r="J136" s="2"/>
      <c r="K136" s="2"/>
      <c r="L136" s="2"/>
      <c r="M136" s="2"/>
      <c r="N136" s="2"/>
      <c r="O136" s="2"/>
      <c r="P136" s="2"/>
      <c r="Q136" s="2"/>
      <c r="R136" s="2"/>
      <c r="S136" s="2"/>
      <c r="V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row>
    <row r="137" spans="7:61">
      <c r="G137" s="2"/>
      <c r="H137" s="2"/>
      <c r="I137" s="2"/>
      <c r="J137" s="2"/>
      <c r="K137" s="2"/>
      <c r="L137" s="2"/>
      <c r="M137" s="2"/>
      <c r="N137" s="2"/>
      <c r="O137" s="2"/>
      <c r="P137" s="2"/>
      <c r="Q137" s="2"/>
      <c r="R137" s="2"/>
      <c r="S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row>
    <row r="138" spans="7:61">
      <c r="G138" s="2"/>
      <c r="H138" s="2"/>
      <c r="I138" s="2"/>
      <c r="J138" s="2"/>
      <c r="K138" s="2"/>
      <c r="L138" s="2"/>
      <c r="M138" s="2"/>
      <c r="N138" s="2"/>
      <c r="O138" s="2"/>
      <c r="P138" s="2"/>
      <c r="Q138" s="2"/>
      <c r="R138" s="2"/>
      <c r="S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row>
    <row r="139" spans="7:61">
      <c r="L139" s="2"/>
      <c r="M139" s="2"/>
      <c r="N139" s="2"/>
      <c r="O139" s="2"/>
      <c r="P139" s="2"/>
      <c r="Q139" s="2"/>
      <c r="AB139" s="2"/>
      <c r="AW139" s="2"/>
      <c r="AX139" s="2"/>
      <c r="AY139" s="2"/>
      <c r="AZ139" s="2"/>
      <c r="BA139" s="2"/>
      <c r="BB139" s="2"/>
      <c r="BC139" s="2"/>
      <c r="BD139" s="2"/>
      <c r="BE139" s="2"/>
      <c r="BF139" s="2"/>
      <c r="BG139" s="2"/>
      <c r="BH139" s="2"/>
      <c r="BI139" s="2"/>
    </row>
    <row r="140" spans="7:61">
      <c r="L140" s="2"/>
      <c r="M140" s="2"/>
    </row>
  </sheetData>
  <sheetProtection sheet="1" objects="1" scenarios="1"/>
  <mergeCells count="14">
    <mergeCell ref="G48:G49"/>
    <mergeCell ref="E2:E4"/>
    <mergeCell ref="M30:M31"/>
    <mergeCell ref="O28:S28"/>
    <mergeCell ref="J2:J3"/>
    <mergeCell ref="J16:J17"/>
    <mergeCell ref="H31:H32"/>
    <mergeCell ref="A49:B49"/>
    <mergeCell ref="A65:B65"/>
    <mergeCell ref="E16:E18"/>
    <mergeCell ref="E30:E32"/>
    <mergeCell ref="C48:C49"/>
    <mergeCell ref="D48:D49"/>
    <mergeCell ref="E48:E49"/>
  </mergeCells>
  <dataValidations count="4">
    <dataValidation type="list" showDropDown="1" showInputMessage="1" showErrorMessage="1" error="Enter upper limit of final age group: 29,34 or39" sqref="Q30">
      <formula1>"29,34,39"</formula1>
    </dataValidation>
    <dataValidation type="list" showDropDown="1" showInputMessage="1" showErrorMessage="1" error="Enter lower limit of initial age group: 20,25 or 30" sqref="Q29">
      <formula1>"20,25,30"</formula1>
    </dataValidation>
    <dataValidation type="decimal" operator="greaterThanOrEqual" allowBlank="1" showInputMessage="1" showErrorMessage="1" sqref="B5:C13 C50:D64">
      <formula1>0</formula1>
    </dataValidation>
    <dataValidation type="decimal" operator="greaterThan" allowBlank="1" showInputMessage="1" showErrorMessage="1" sqref="B19:C27">
      <formula1>0</formula1>
    </dataValidation>
  </dataValidations>
  <pageMargins left="0.47244094488188981" right="0.47244094488188981" top="0.98425196850393704" bottom="0.98425196850393704" header="0.31496062992125984" footer="0.51181102362204722"/>
  <pageSetup paperSize="9" scale="80" orientation="portrait" r:id="rId1"/>
  <headerFooter>
    <oddHeader>&amp;L&amp;"Cambria,Bold"&amp;14Tools for Demographic Estimation&amp;R&amp;"Cambria,Bold"&amp;14Synthetic orphanhood</oddHeader>
    <oddFooter xml:space="preserve">&amp;L&amp;"Cambria,Regular"&amp;F&amp;R&amp;"Cambria,Regular"&amp;D &amp;T  </oddFooter>
  </headerFooter>
  <rowBreaks count="1" manualBreakCount="1">
    <brk id="39" max="16383" man="1"/>
  </rowBreaks>
  <colBreaks count="1" manualBreakCount="1">
    <brk id="12"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theme="9" tint="0.59999389629810485"/>
    <pageSetUpPr fitToPage="1"/>
  </sheetPr>
  <dimension ref="J1:P14"/>
  <sheetViews>
    <sheetView showGridLines="0" showRowColHeaders="0" zoomScale="90" zoomScaleNormal="90" workbookViewId="0">
      <selection activeCell="N1" sqref="N1"/>
    </sheetView>
  </sheetViews>
  <sheetFormatPr defaultColWidth="8.88671875" defaultRowHeight="15"/>
  <sheetData>
    <row r="1" spans="10:16">
      <c r="P1" s="282"/>
    </row>
    <row r="10" spans="10:16">
      <c r="J10" s="21"/>
    </row>
    <row r="14" spans="10:16">
      <c r="P14" s="21" t="s">
        <v>85</v>
      </c>
    </row>
  </sheetData>
  <sheetProtection sheet="1" objects="1" scenarios="1" selectLockedCells="1" selectUnlockedCells="1"/>
  <pageMargins left="0.70866141732283472" right="0.70866141732283472" top="0.74803149606299213" bottom="0.74803149606299213" header="0.31496062992125984" footer="0.31496062992125984"/>
  <pageSetup paperSize="9" scale="63" orientation="portrait" r:id="rId1"/>
  <headerFooter>
    <oddHeader>&amp;L&amp;"Cambria,Bold"&amp;14Tools for Demographic Estimation&amp;R&amp;"Cambria,Bold"&amp;14Synthetic orphanhood</oddHeader>
    <oddFooter>&amp;L&amp;"Cambria,Regular"&amp;F&amp;R&amp;"Cambria,Regular"&amp;D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Modèles</vt:lpstr>
      <vt:lpstr>Orphelins de mère</vt:lpstr>
      <vt:lpstr>Orphelins de père</vt:lpstr>
      <vt:lpstr>Graphiques</vt:lpstr>
      <vt:lpstr>Date_of_survey</vt:lpstr>
      <vt:lpstr>MBAR</vt:lpstr>
      <vt:lpstr>MBAR_m</vt:lpstr>
      <vt:lpstr>Model_LTs</vt:lpstr>
      <vt:lpstr>'Orphelins de mère'!Print_Area_MI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Orphanhood Teaching Sheet</dc:title>
  <dc:creator>Ian Timaeus</dc:creator>
  <cp:lastModifiedBy>Anne</cp:lastModifiedBy>
  <cp:lastPrinted>2011-11-12T18:21:10Z</cp:lastPrinted>
  <dcterms:created xsi:type="dcterms:W3CDTF">2002-05-14T18:44:24Z</dcterms:created>
  <dcterms:modified xsi:type="dcterms:W3CDTF">2015-05-17T14:03:19Z</dcterms:modified>
</cp:coreProperties>
</file>