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7605" yWindow="-15" windowWidth="7650" windowHeight="8595"/>
  </bookViews>
  <sheets>
    <sheet name="Introduction" sheetId="7" r:id="rId1"/>
    <sheet name="Model data" sheetId="8" r:id="rId2"/>
    <sheet name="Maternal orphanhood" sheetId="1" r:id="rId3"/>
    <sheet name="Paternal orphanhood" sheetId="5" r:id="rId4"/>
    <sheet name="Charts" sheetId="6" r:id="rId5"/>
  </sheets>
  <externalReferences>
    <externalReference r:id="rId6"/>
    <externalReference r:id="rId7"/>
  </externalReferences>
  <definedNames>
    <definedName name="__123Graph_A" hidden="1">'Maternal orphanhood'!$G$35:$G$39</definedName>
    <definedName name="__123Graph_A1" hidden="1">'Maternal orphanhood'!$G$35:$G$39</definedName>
    <definedName name="__123Graph_X" hidden="1">'Maternal orphanhood'!$J$35:$J$39</definedName>
    <definedName name="__123Graph_X1" hidden="1">'Maternal orphanhood'!$J$35:$J$39</definedName>
    <definedName name="_Regression_Int" localSheetId="2" hidden="1">0</definedName>
    <definedName name="Date_of_survey" localSheetId="0">'[1]Maternal orphanhood'!$R$1</definedName>
    <definedName name="Date_of_survey">'Maternal orphanhood'!$S$1</definedName>
    <definedName name="M_MBAR">#REF!</definedName>
    <definedName name="MBAR" localSheetId="0">'[1]Maternal orphanhood'!$D$29</definedName>
    <definedName name="MBAR">'Maternal orphanhood'!$F$1</definedName>
    <definedName name="MBAR_m" localSheetId="0">'[1]Paternal orphanhood'!$C$17</definedName>
    <definedName name="MBAR_m">'Paternal orphanhood'!$AD$10</definedName>
    <definedName name="mbar2">#REF!</definedName>
    <definedName name="SDAT">'Maternal orphanhood'!#REF!</definedName>
    <definedName name="SMAM">'Maternal orphanhood'!$L$1</definedName>
    <definedName name="TABLE" localSheetId="2">'Maternal orphanhood'!$F$46:$J$66</definedName>
    <definedName name="TABLE_2" localSheetId="2">'Maternal orphanhood'!$F$46:$J$66</definedName>
    <definedName name="TABLE_3" localSheetId="2">'Maternal orphanhood'!$F$46:$J$66</definedName>
    <definedName name="TABLE_4" localSheetId="2">'Maternal orphanhood'!$F$46:$J$66</definedName>
  </definedNames>
  <calcPr calcId="125725"/>
</workbook>
</file>

<file path=xl/calcChain.xml><?xml version="1.0" encoding="utf-8"?>
<calcChain xmlns="http://schemas.openxmlformats.org/spreadsheetml/2006/main">
  <c r="O25" i="1"/>
  <c r="O22"/>
  <c r="O23"/>
  <c r="O24"/>
  <c r="O21"/>
  <c r="I18" i="5"/>
  <c r="M25" i="1"/>
  <c r="E23" i="5" l="1"/>
  <c r="Q40" i="1"/>
  <c r="E21"/>
  <c r="F25"/>
  <c r="B38" i="8"/>
  <c r="C38" s="1"/>
  <c r="D38" s="1"/>
  <c r="B37"/>
  <c r="C37" s="1"/>
  <c r="D37" s="1"/>
  <c r="B36"/>
  <c r="C36" s="1"/>
  <c r="D36" s="1"/>
  <c r="G25" i="1" s="1"/>
  <c r="B35" i="8"/>
  <c r="C35" s="1"/>
  <c r="D35" s="1"/>
  <c r="G24" i="1" s="1"/>
  <c r="B34" i="8"/>
  <c r="C34" s="1"/>
  <c r="D34" s="1"/>
  <c r="G23" i="1" s="1"/>
  <c r="B33" i="8"/>
  <c r="C33" s="1"/>
  <c r="D33" s="1"/>
  <c r="G22" i="1" s="1"/>
  <c r="B32" i="8"/>
  <c r="C32" s="1"/>
  <c r="D32" s="1"/>
  <c r="G10" i="1" s="1"/>
  <c r="B31" i="8"/>
  <c r="C31" s="1"/>
  <c r="D31" s="1"/>
  <c r="G9" i="1" s="1"/>
  <c r="B30" i="8"/>
  <c r="C30" s="1"/>
  <c r="D30" s="1"/>
  <c r="G37" i="1" s="1"/>
  <c r="B29" i="8"/>
  <c r="C29" s="1"/>
  <c r="D29" s="1"/>
  <c r="G7" i="1" s="1"/>
  <c r="B28" i="8"/>
  <c r="C28" s="1"/>
  <c r="D28" s="1"/>
  <c r="G6" i="1" s="1"/>
  <c r="B27" i="8"/>
  <c r="C27" s="1"/>
  <c r="D27" s="1"/>
  <c r="B26"/>
  <c r="C26" s="1"/>
  <c r="D26" s="1"/>
  <c r="B25"/>
  <c r="C25" s="1"/>
  <c r="D25" s="1"/>
  <c r="A25"/>
  <c r="A26" s="1"/>
  <c r="A27" s="1"/>
  <c r="A28" s="1"/>
  <c r="A29" s="1"/>
  <c r="A30" s="1"/>
  <c r="A31" s="1"/>
  <c r="A32" s="1"/>
  <c r="A33" s="1"/>
  <c r="A34" s="1"/>
  <c r="A35" s="1"/>
  <c r="A36" s="1"/>
  <c r="A37" s="1"/>
  <c r="A38" s="1"/>
  <c r="B24"/>
  <c r="C24" s="1"/>
  <c r="D24" s="1"/>
  <c r="B21"/>
  <c r="E21" i="5"/>
  <c r="E22"/>
  <c r="E20"/>
  <c r="E25" i="1"/>
  <c r="E22"/>
  <c r="E23"/>
  <c r="E24"/>
  <c r="C40" i="5"/>
  <c r="C62"/>
  <c r="E55" s="1"/>
  <c r="B62"/>
  <c r="E7" i="1"/>
  <c r="E8"/>
  <c r="E9"/>
  <c r="E10"/>
  <c r="E11"/>
  <c r="E12"/>
  <c r="E13"/>
  <c r="E14"/>
  <c r="E6"/>
  <c r="B54"/>
  <c r="C47"/>
  <c r="D47" s="1"/>
  <c r="I30" i="5"/>
  <c r="I4"/>
  <c r="I33" i="1"/>
  <c r="I19"/>
  <c r="I4"/>
  <c r="F1" i="5"/>
  <c r="J1"/>
  <c r="J1" i="1"/>
  <c r="D48" i="5" l="1"/>
  <c r="D47"/>
  <c r="E49"/>
  <c r="E51"/>
  <c r="E50"/>
  <c r="E60"/>
  <c r="E56"/>
  <c r="E58"/>
  <c r="E52"/>
  <c r="E47"/>
  <c r="E59"/>
  <c r="E54"/>
  <c r="E48"/>
  <c r="C48" i="1"/>
  <c r="G13"/>
  <c r="G12"/>
  <c r="G8"/>
  <c r="G21"/>
  <c r="G35"/>
  <c r="G38"/>
  <c r="G36"/>
  <c r="G14"/>
  <c r="G11"/>
  <c r="G39"/>
  <c r="H25"/>
  <c r="I25" s="1"/>
  <c r="D61" i="5"/>
  <c r="D57"/>
  <c r="D53"/>
  <c r="D49"/>
  <c r="D58"/>
  <c r="D54"/>
  <c r="D50"/>
  <c r="D59"/>
  <c r="D55"/>
  <c r="D51"/>
  <c r="E61"/>
  <c r="E57"/>
  <c r="E53"/>
  <c r="D60"/>
  <c r="D56"/>
  <c r="D52"/>
  <c r="C42"/>
  <c r="E11" s="1"/>
  <c r="D62" l="1"/>
  <c r="E62"/>
  <c r="C49" i="1"/>
  <c r="D48"/>
  <c r="F11" i="5"/>
  <c r="F21"/>
  <c r="E6"/>
  <c r="F6" s="1"/>
  <c r="E10"/>
  <c r="E9"/>
  <c r="E13"/>
  <c r="E7"/>
  <c r="E8"/>
  <c r="E12"/>
  <c r="C50" i="1" l="1"/>
  <c r="D49"/>
  <c r="F22" i="5"/>
  <c r="F34"/>
  <c r="F33"/>
  <c r="F36"/>
  <c r="F35"/>
  <c r="F20"/>
  <c r="F32"/>
  <c r="D50" i="1" l="1"/>
  <c r="C51"/>
  <c r="C52" l="1"/>
  <c r="D51"/>
  <c r="C53" l="1"/>
  <c r="D53" s="1"/>
  <c r="D52"/>
  <c r="D54" s="1"/>
  <c r="S1"/>
  <c r="S1" i="5" s="1"/>
  <c r="S27" s="1"/>
  <c r="G6"/>
  <c r="G34"/>
  <c r="G20"/>
  <c r="G21"/>
  <c r="G12"/>
  <c r="G9"/>
  <c r="G7" l="1"/>
  <c r="G11"/>
  <c r="G22"/>
  <c r="G32"/>
  <c r="G35"/>
  <c r="G33"/>
  <c r="G10"/>
  <c r="G8"/>
  <c r="G36"/>
  <c r="S30" i="1"/>
  <c r="S16"/>
  <c r="N25" l="1"/>
  <c r="U6"/>
  <c r="U7" s="1"/>
  <c r="U8" s="1"/>
  <c r="U9" s="1"/>
  <c r="U10" s="1"/>
  <c r="U11" s="1"/>
  <c r="U12" s="1"/>
  <c r="U13" s="1"/>
  <c r="U14" s="1"/>
  <c r="S15" i="5" l="1"/>
  <c r="Q36"/>
  <c r="N36"/>
  <c r="Q35"/>
  <c r="N35"/>
  <c r="Q34"/>
  <c r="N34"/>
  <c r="Q33"/>
  <c r="N33"/>
  <c r="Q32"/>
  <c r="N32"/>
  <c r="N22"/>
  <c r="N21"/>
  <c r="N20"/>
  <c r="U6"/>
  <c r="U7" s="1"/>
  <c r="U8" s="1"/>
  <c r="U9" s="1"/>
  <c r="U10" s="1"/>
  <c r="U11" s="1"/>
  <c r="U12" s="1"/>
  <c r="U13" s="1"/>
  <c r="N12"/>
  <c r="N11"/>
  <c r="N10"/>
  <c r="N9"/>
  <c r="N8"/>
  <c r="M7"/>
  <c r="M8" s="1"/>
  <c r="N7"/>
  <c r="Q6"/>
  <c r="N6"/>
  <c r="N22" i="1"/>
  <c r="N23"/>
  <c r="N24"/>
  <c r="N21"/>
  <c r="Q25"/>
  <c r="Q39"/>
  <c r="Q36"/>
  <c r="Q37"/>
  <c r="Q38"/>
  <c r="Q35"/>
  <c r="N36"/>
  <c r="N37"/>
  <c r="N38"/>
  <c r="N39"/>
  <c r="N35"/>
  <c r="F7"/>
  <c r="H7" s="1"/>
  <c r="I7" s="1"/>
  <c r="F8"/>
  <c r="H8" s="1"/>
  <c r="I8" s="1"/>
  <c r="F14"/>
  <c r="H14" s="1"/>
  <c r="I14" s="1"/>
  <c r="O6" i="5"/>
  <c r="N9" i="1"/>
  <c r="N10"/>
  <c r="N11"/>
  <c r="N12"/>
  <c r="N13"/>
  <c r="N14"/>
  <c r="N8"/>
  <c r="N7"/>
  <c r="F6"/>
  <c r="H6" s="1"/>
  <c r="I6" s="1"/>
  <c r="N6"/>
  <c r="M6"/>
  <c r="Q6" s="1"/>
  <c r="X21"/>
  <c r="Y21"/>
  <c r="X22"/>
  <c r="Y22"/>
  <c r="V23"/>
  <c r="X23"/>
  <c r="V24"/>
  <c r="X24"/>
  <c r="V25"/>
  <c r="X25"/>
  <c r="V35"/>
  <c r="Y35"/>
  <c r="V36"/>
  <c r="Y36"/>
  <c r="V37"/>
  <c r="Y37"/>
  <c r="V38"/>
  <c r="Y38"/>
  <c r="V39"/>
  <c r="Y39"/>
  <c r="F38" l="1"/>
  <c r="H38" s="1"/>
  <c r="I38" s="1"/>
  <c r="F36"/>
  <c r="H36" s="1"/>
  <c r="I36" s="1"/>
  <c r="F23"/>
  <c r="H23" s="1"/>
  <c r="I23" s="1"/>
  <c r="F21"/>
  <c r="H21" s="1"/>
  <c r="I21" s="1"/>
  <c r="F39"/>
  <c r="H39" s="1"/>
  <c r="I39" s="1"/>
  <c r="F37"/>
  <c r="H37" s="1"/>
  <c r="I37" s="1"/>
  <c r="F35"/>
  <c r="H35" s="1"/>
  <c r="I35" s="1"/>
  <c r="F24"/>
  <c r="H24" s="1"/>
  <c r="I24" s="1"/>
  <c r="F22"/>
  <c r="H22" s="1"/>
  <c r="I22" s="1"/>
  <c r="F9"/>
  <c r="H9" s="1"/>
  <c r="I9" s="1"/>
  <c r="O36"/>
  <c r="P36" s="1"/>
  <c r="R36" s="1"/>
  <c r="S36" s="1"/>
  <c r="J36" s="1"/>
  <c r="F7" i="5"/>
  <c r="H7" s="1"/>
  <c r="I7" s="1"/>
  <c r="O35" i="1"/>
  <c r="P35" s="1"/>
  <c r="R35" s="1"/>
  <c r="S35" s="1"/>
  <c r="J35" s="1"/>
  <c r="H21" i="5"/>
  <c r="I21" s="1"/>
  <c r="F8"/>
  <c r="H8" s="1"/>
  <c r="I8" s="1"/>
  <c r="O37" i="1"/>
  <c r="P37" s="1"/>
  <c r="R37" s="1"/>
  <c r="S37" s="1"/>
  <c r="J37" s="1"/>
  <c r="F12"/>
  <c r="H12" s="1"/>
  <c r="I12" s="1"/>
  <c r="O39"/>
  <c r="P39" s="1"/>
  <c r="R39" s="1"/>
  <c r="S39" s="1"/>
  <c r="J39" s="1"/>
  <c r="P25"/>
  <c r="R25" s="1"/>
  <c r="S25" s="1"/>
  <c r="J25" s="1"/>
  <c r="H35" i="5"/>
  <c r="I35" s="1"/>
  <c r="H32"/>
  <c r="I32" s="1"/>
  <c r="F9"/>
  <c r="H9" s="1"/>
  <c r="I9" s="1"/>
  <c r="H6"/>
  <c r="I6" s="1"/>
  <c r="Q8"/>
  <c r="M9"/>
  <c r="P6"/>
  <c r="R6" s="1"/>
  <c r="S6" s="1"/>
  <c r="J6" s="1"/>
  <c r="Q7"/>
  <c r="O38" i="1"/>
  <c r="P38" s="1"/>
  <c r="R38" s="1"/>
  <c r="S38" s="1"/>
  <c r="J38" s="1"/>
  <c r="O6"/>
  <c r="P6" s="1"/>
  <c r="F10"/>
  <c r="H10" s="1"/>
  <c r="I10" s="1"/>
  <c r="F11"/>
  <c r="H11" s="1"/>
  <c r="I11" s="1"/>
  <c r="F13"/>
  <c r="H13" s="1"/>
  <c r="I13" s="1"/>
  <c r="R6"/>
  <c r="M7"/>
  <c r="O7" s="1"/>
  <c r="O7" i="5" l="1"/>
  <c r="P7" s="1"/>
  <c r="R7" s="1"/>
  <c r="S7" s="1"/>
  <c r="J7" s="1"/>
  <c r="H33"/>
  <c r="I33" s="1"/>
  <c r="O32"/>
  <c r="P32" s="1"/>
  <c r="R32" s="1"/>
  <c r="S32" s="1"/>
  <c r="J32" s="1"/>
  <c r="O9"/>
  <c r="P9" s="1"/>
  <c r="F10"/>
  <c r="H10" s="1"/>
  <c r="I10" s="1"/>
  <c r="H20"/>
  <c r="I20" s="1"/>
  <c r="O33"/>
  <c r="P33" s="1"/>
  <c r="R33" s="1"/>
  <c r="S33" s="1"/>
  <c r="J33" s="1"/>
  <c r="O8"/>
  <c r="P8" s="1"/>
  <c r="R8" s="1"/>
  <c r="H22"/>
  <c r="I22" s="1"/>
  <c r="O34"/>
  <c r="P34" s="1"/>
  <c r="R34" s="1"/>
  <c r="S34" s="1"/>
  <c r="J34" s="1"/>
  <c r="F12"/>
  <c r="H12" s="1"/>
  <c r="I12" s="1"/>
  <c r="H11"/>
  <c r="I11" s="1"/>
  <c r="H34"/>
  <c r="I34" s="1"/>
  <c r="O35"/>
  <c r="P35" s="1"/>
  <c r="R35" s="1"/>
  <c r="S35" s="1"/>
  <c r="J35" s="1"/>
  <c r="H36"/>
  <c r="I36" s="1"/>
  <c r="O36"/>
  <c r="P36" s="1"/>
  <c r="R36" s="1"/>
  <c r="S36" s="1"/>
  <c r="J36" s="1"/>
  <c r="M10"/>
  <c r="Q9"/>
  <c r="S6" i="1"/>
  <c r="J6" s="1"/>
  <c r="P7"/>
  <c r="Q7"/>
  <c r="M8"/>
  <c r="O8" s="1"/>
  <c r="O10" i="5" l="1"/>
  <c r="P10" s="1"/>
  <c r="O20"/>
  <c r="P20" s="1"/>
  <c r="R20" s="1"/>
  <c r="S20" s="1"/>
  <c r="J20" s="1"/>
  <c r="M20"/>
  <c r="Q20" s="1"/>
  <c r="H24"/>
  <c r="I24" s="1"/>
  <c r="H25"/>
  <c r="I25" s="1"/>
  <c r="R9"/>
  <c r="S9" s="1"/>
  <c r="J9" s="1"/>
  <c r="S8"/>
  <c r="J8" s="1"/>
  <c r="Q10"/>
  <c r="M11"/>
  <c r="R7" i="1"/>
  <c r="S7" s="1"/>
  <c r="P8"/>
  <c r="M9"/>
  <c r="O9" s="1"/>
  <c r="Q8"/>
  <c r="H28"/>
  <c r="I28" s="1"/>
  <c r="H27"/>
  <c r="I27" s="1"/>
  <c r="O11" i="5" l="1"/>
  <c r="P11" s="1"/>
  <c r="O21"/>
  <c r="P21" s="1"/>
  <c r="R21" s="1"/>
  <c r="S21" s="1"/>
  <c r="J21" s="1"/>
  <c r="J25" s="1"/>
  <c r="M21"/>
  <c r="Q21" s="1"/>
  <c r="M12"/>
  <c r="Q11"/>
  <c r="R10"/>
  <c r="S10" s="1"/>
  <c r="J10" s="1"/>
  <c r="J7" i="1"/>
  <c r="M10"/>
  <c r="P9"/>
  <c r="Q9"/>
  <c r="R8"/>
  <c r="O12" i="5" l="1"/>
  <c r="P12" s="1"/>
  <c r="O22"/>
  <c r="P22" s="1"/>
  <c r="R22" s="1"/>
  <c r="S22" s="1"/>
  <c r="J22" s="1"/>
  <c r="J24" s="1"/>
  <c r="M22"/>
  <c r="Q22" s="1"/>
  <c r="O10" i="1"/>
  <c r="P21"/>
  <c r="M21"/>
  <c r="Q21" s="1"/>
  <c r="Q12" i="5"/>
  <c r="R11"/>
  <c r="S11" s="1"/>
  <c r="J11" s="1"/>
  <c r="S8" i="1"/>
  <c r="J8" s="1"/>
  <c r="Q10"/>
  <c r="M11"/>
  <c r="P10"/>
  <c r="R9"/>
  <c r="O11" l="1"/>
  <c r="P22"/>
  <c r="R22" s="1"/>
  <c r="S22" s="1"/>
  <c r="J22" s="1"/>
  <c r="M22"/>
  <c r="Q22" s="1"/>
  <c r="R12" i="5"/>
  <c r="S12" s="1"/>
  <c r="J12" s="1"/>
  <c r="S9" i="1"/>
  <c r="J9" s="1"/>
  <c r="R10"/>
  <c r="S10" s="1"/>
  <c r="Q11"/>
  <c r="P11"/>
  <c r="M12"/>
  <c r="R21"/>
  <c r="S21" s="1"/>
  <c r="J21" s="1"/>
  <c r="O12" l="1"/>
  <c r="P23"/>
  <c r="J10"/>
  <c r="R11"/>
  <c r="S11" s="1"/>
  <c r="J11" s="1"/>
  <c r="P12"/>
  <c r="M13"/>
  <c r="Q12"/>
  <c r="O13" l="1"/>
  <c r="R23"/>
  <c r="S23" s="1"/>
  <c r="J23" s="1"/>
  <c r="J28" s="1"/>
  <c r="M23"/>
  <c r="Q23" s="1"/>
  <c r="M14"/>
  <c r="O14" s="1"/>
  <c r="Q13"/>
  <c r="P13"/>
  <c r="R12"/>
  <c r="S12" s="1"/>
  <c r="J12" s="1"/>
  <c r="P24" l="1"/>
  <c r="M24"/>
  <c r="Q24" s="1"/>
  <c r="Q14"/>
  <c r="P14"/>
  <c r="R13"/>
  <c r="S13" s="1"/>
  <c r="J13" s="1"/>
  <c r="R24" l="1"/>
  <c r="S24" s="1"/>
  <c r="J24" s="1"/>
  <c r="J27" s="1"/>
  <c r="R14"/>
  <c r="S14" s="1"/>
  <c r="J14" s="1"/>
</calcChain>
</file>

<file path=xl/comments1.xml><?xml version="1.0" encoding="utf-8"?>
<comments xmlns="http://schemas.openxmlformats.org/spreadsheetml/2006/main">
  <authors>
    <author>Ian Timaeus</author>
  </authors>
  <commentList>
    <comment ref="U6" authorId="0">
      <text>
        <r>
          <rPr>
            <sz val="9"/>
            <color indexed="81"/>
            <rFont val="Tahoma"/>
            <family val="2"/>
          </rPr>
          <t>N.B.This equation estimates l(35+n+5)/l(35), not l(35+n)/l(35). It is was fitted to the same data as the equations in Timaeus (1992) but gives more robust estimates than estimating l(45)/l(35) using the published equation.</t>
        </r>
      </text>
    </comment>
  </commentList>
</comments>
</file>

<file path=xl/sharedStrings.xml><?xml version="1.0" encoding="utf-8"?>
<sst xmlns="http://schemas.openxmlformats.org/spreadsheetml/2006/main" count="461" uniqueCount="161">
  <si>
    <t>Age</t>
  </si>
  <si>
    <t>Time</t>
  </si>
  <si>
    <t>15-19</t>
  </si>
  <si>
    <t>20-24</t>
  </si>
  <si>
    <t>25-29</t>
  </si>
  <si>
    <t>30-34</t>
  </si>
  <si>
    <t>35-39</t>
  </si>
  <si>
    <t>40-44</t>
  </si>
  <si>
    <t>45-49</t>
  </si>
  <si>
    <t>n</t>
  </si>
  <si>
    <t>50-54</t>
  </si>
  <si>
    <t>30-45</t>
  </si>
  <si>
    <t>30-40</t>
  </si>
  <si>
    <t>Date</t>
  </si>
  <si>
    <t xml:space="preserve"> 5- 9</t>
  </si>
  <si>
    <t>10-14</t>
  </si>
  <si>
    <t>Time location of maternal orphanhood estimates</t>
  </si>
  <si>
    <t>Date of inquiry</t>
  </si>
  <si>
    <t>Central</t>
  </si>
  <si>
    <t>Proportion</t>
  </si>
  <si>
    <t>Standard</t>
  </si>
  <si>
    <t>Correction for</t>
  </si>
  <si>
    <t>Mid-point</t>
  </si>
  <si>
    <t>group</t>
  </si>
  <si>
    <t>age</t>
  </si>
  <si>
    <t>surviving</t>
  </si>
  <si>
    <t>prop. alive</t>
  </si>
  <si>
    <t>non-linearity</t>
  </si>
  <si>
    <t>of exposure</t>
  </si>
  <si>
    <t>location</t>
  </si>
  <si>
    <t>N</t>
  </si>
  <si>
    <r>
      <rPr>
        <b/>
        <i/>
        <sz val="11"/>
        <rFont val="Arial Narrow"/>
        <family val="2"/>
      </rPr>
      <t>S</t>
    </r>
    <r>
      <rPr>
        <b/>
        <sz val="11"/>
        <rFont val="Arial Narrow"/>
        <family val="2"/>
      </rPr>
      <t>(</t>
    </r>
    <r>
      <rPr>
        <b/>
        <i/>
        <sz val="11"/>
        <rFont val="Arial Narrow"/>
        <family val="2"/>
      </rPr>
      <t>n</t>
    </r>
    <r>
      <rPr>
        <b/>
        <sz val="11"/>
        <rFont val="Arial Narrow"/>
        <family val="2"/>
      </rPr>
      <t>)</t>
    </r>
  </si>
  <si>
    <r>
      <rPr>
        <b/>
        <i/>
        <vertAlign val="subscript"/>
        <sz val="11"/>
        <rFont val="Arial Narrow"/>
        <family val="2"/>
      </rPr>
      <t>N</t>
    </r>
    <r>
      <rPr>
        <b/>
        <i/>
        <sz val="11"/>
        <rFont val="Arial Narrow"/>
        <family val="2"/>
      </rPr>
      <t>p</t>
    </r>
    <r>
      <rPr>
        <b/>
        <i/>
        <vertAlign val="subscript"/>
        <sz val="11"/>
        <rFont val="Arial Narrow"/>
        <family val="2"/>
      </rPr>
      <t>M</t>
    </r>
  </si>
  <si>
    <r>
      <rPr>
        <b/>
        <i/>
        <sz val="11"/>
        <rFont val="Arial Narrow"/>
        <family val="2"/>
      </rPr>
      <t>C</t>
    </r>
    <r>
      <rPr>
        <b/>
        <sz val="11"/>
        <rFont val="Arial Narrow"/>
        <family val="2"/>
      </rPr>
      <t>(</t>
    </r>
    <r>
      <rPr>
        <b/>
        <i/>
        <sz val="11"/>
        <rFont val="Arial Narrow"/>
        <family val="2"/>
      </rPr>
      <t>N</t>
    </r>
    <r>
      <rPr>
        <b/>
        <sz val="11"/>
        <rFont val="Arial Narrow"/>
        <family val="2"/>
      </rPr>
      <t>)</t>
    </r>
  </si>
  <si>
    <r>
      <rPr>
        <b/>
        <i/>
        <sz val="11"/>
        <rFont val="Arial Narrow"/>
        <family val="2"/>
      </rPr>
      <t>N</t>
    </r>
    <r>
      <rPr>
        <b/>
        <sz val="11"/>
        <rFont val="Arial Narrow"/>
        <family val="2"/>
      </rPr>
      <t>/2</t>
    </r>
  </si>
  <si>
    <t>T</t>
  </si>
  <si>
    <r>
      <rPr>
        <b/>
        <i/>
        <sz val="11"/>
        <rFont val="Arial Narrow"/>
        <family val="2"/>
      </rPr>
      <t>a</t>
    </r>
    <r>
      <rPr>
        <b/>
        <sz val="11"/>
        <rFont val="Arial Narrow"/>
        <family val="2"/>
      </rPr>
      <t>(</t>
    </r>
    <r>
      <rPr>
        <b/>
        <i/>
        <sz val="11"/>
        <rFont val="Arial Narrow"/>
        <family val="2"/>
      </rPr>
      <t>n</t>
    </r>
    <r>
      <rPr>
        <b/>
        <sz val="11"/>
        <rFont val="Arial Narrow"/>
        <family val="2"/>
      </rPr>
      <t>)</t>
    </r>
  </si>
  <si>
    <r>
      <rPr>
        <b/>
        <i/>
        <sz val="11"/>
        <rFont val="Arial Narrow"/>
        <family val="2"/>
      </rPr>
      <t>b</t>
    </r>
    <r>
      <rPr>
        <b/>
        <sz val="11"/>
        <rFont val="Arial Narrow"/>
        <family val="2"/>
      </rPr>
      <t>(</t>
    </r>
    <r>
      <rPr>
        <b/>
        <i/>
        <sz val="11"/>
        <rFont val="Arial Narrow"/>
        <family val="2"/>
      </rPr>
      <t>n</t>
    </r>
    <r>
      <rPr>
        <b/>
        <sz val="11"/>
        <rFont val="Arial Narrow"/>
        <family val="2"/>
      </rPr>
      <t>)</t>
    </r>
  </si>
  <si>
    <r>
      <rPr>
        <b/>
        <i/>
        <sz val="11"/>
        <rFont val="Arial Narrow"/>
        <family val="2"/>
      </rPr>
      <t>c</t>
    </r>
    <r>
      <rPr>
        <b/>
        <sz val="11"/>
        <rFont val="Arial Narrow"/>
        <family val="2"/>
      </rPr>
      <t>(</t>
    </r>
    <r>
      <rPr>
        <b/>
        <i/>
        <sz val="11"/>
        <rFont val="Arial Narrow"/>
        <family val="2"/>
      </rPr>
      <t>n</t>
    </r>
    <r>
      <rPr>
        <b/>
        <sz val="11"/>
        <rFont val="Arial Narrow"/>
        <family val="2"/>
      </rPr>
      <t>)</t>
    </r>
  </si>
  <si>
    <r>
      <rPr>
        <b/>
        <i/>
        <sz val="11"/>
        <rFont val="Arial Narrow"/>
        <family val="2"/>
      </rPr>
      <t>d</t>
    </r>
    <r>
      <rPr>
        <b/>
        <sz val="11"/>
        <rFont val="Arial Narrow"/>
        <family val="2"/>
      </rPr>
      <t>(</t>
    </r>
    <r>
      <rPr>
        <b/>
        <i/>
        <sz val="11"/>
        <rFont val="Arial Narrow"/>
        <family val="2"/>
      </rPr>
      <t>n</t>
    </r>
    <r>
      <rPr>
        <b/>
        <sz val="11"/>
        <rFont val="Arial Narrow"/>
        <family val="2"/>
      </rPr>
      <t>)</t>
    </r>
  </si>
  <si>
    <r>
      <rPr>
        <b/>
        <i/>
        <sz val="11"/>
        <rFont val="Arial Narrow"/>
        <family val="2"/>
      </rPr>
      <t>e</t>
    </r>
    <r>
      <rPr>
        <b/>
        <sz val="11"/>
        <rFont val="Arial Narrow"/>
        <family val="2"/>
      </rPr>
      <t>(</t>
    </r>
    <r>
      <rPr>
        <b/>
        <i/>
        <sz val="11"/>
        <rFont val="Arial Narrow"/>
        <family val="2"/>
      </rPr>
      <t>n</t>
    </r>
    <r>
      <rPr>
        <b/>
        <sz val="11"/>
        <rFont val="Arial Narrow"/>
        <family val="2"/>
      </rPr>
      <t>)</t>
    </r>
  </si>
  <si>
    <t>Total</t>
  </si>
  <si>
    <t>Mother</t>
  </si>
  <si>
    <r>
      <rPr>
        <b/>
        <i/>
        <u/>
        <sz val="12"/>
        <rFont val="Times New Roman"/>
        <family val="1"/>
      </rPr>
      <t>l</t>
    </r>
    <r>
      <rPr>
        <b/>
        <u/>
        <sz val="11"/>
        <rFont val="Arial Narrow"/>
        <family val="2"/>
      </rPr>
      <t>(25+</t>
    </r>
    <r>
      <rPr>
        <b/>
        <i/>
        <u/>
        <sz val="11"/>
        <rFont val="Arial Narrow"/>
        <family val="2"/>
      </rPr>
      <t>n</t>
    </r>
    <r>
      <rPr>
        <b/>
        <u/>
        <sz val="11"/>
        <rFont val="Arial Narrow"/>
        <family val="2"/>
      </rPr>
      <t>)</t>
    </r>
  </si>
  <si>
    <t>Level</t>
  </si>
  <si>
    <t>respondents</t>
  </si>
  <si>
    <r>
      <rPr>
        <b/>
        <i/>
        <sz val="12"/>
        <color indexed="8"/>
        <rFont val="Times New Roman"/>
        <family val="1"/>
      </rPr>
      <t>l</t>
    </r>
    <r>
      <rPr>
        <b/>
        <sz val="11"/>
        <color indexed="8"/>
        <rFont val="Times New Roman"/>
        <family val="1"/>
      </rPr>
      <t>(25)</t>
    </r>
  </si>
  <si>
    <r>
      <rPr>
        <b/>
        <i/>
        <sz val="12"/>
        <rFont val="Times New Roman"/>
        <family val="1"/>
      </rPr>
      <t>l</t>
    </r>
    <r>
      <rPr>
        <b/>
        <i/>
        <vertAlign val="subscript"/>
        <sz val="11"/>
        <rFont val="Arial Narrow"/>
        <family val="2"/>
      </rPr>
      <t>s</t>
    </r>
    <r>
      <rPr>
        <b/>
        <sz val="11"/>
        <rFont val="Arial Narrow"/>
        <family val="2"/>
      </rPr>
      <t>(25+</t>
    </r>
    <r>
      <rPr>
        <b/>
        <i/>
        <sz val="11"/>
        <rFont val="Arial Narrow"/>
        <family val="2"/>
      </rPr>
      <t>n</t>
    </r>
    <r>
      <rPr>
        <b/>
        <sz val="11"/>
        <rFont val="Arial Narrow"/>
        <family val="2"/>
      </rPr>
      <t>)</t>
    </r>
  </si>
  <si>
    <t>α</t>
  </si>
  <si>
    <t xml:space="preserve"> 0- 4</t>
  </si>
  <si>
    <t>Egypt</t>
  </si>
  <si>
    <r>
      <rPr>
        <b/>
        <i/>
        <sz val="12"/>
        <rFont val="Times New Roman"/>
        <family val="1"/>
      </rPr>
      <t>l</t>
    </r>
    <r>
      <rPr>
        <b/>
        <i/>
        <vertAlign val="subscript"/>
        <sz val="11"/>
        <rFont val="Arial Narrow"/>
        <family val="2"/>
      </rPr>
      <t>s</t>
    </r>
    <r>
      <rPr>
        <b/>
        <sz val="11"/>
        <rFont val="Arial Narrow"/>
        <family val="2"/>
      </rPr>
      <t>(45)</t>
    </r>
  </si>
  <si>
    <t>Time location of paternal orphanhood estimates</t>
  </si>
  <si>
    <r>
      <rPr>
        <b/>
        <i/>
        <u/>
        <sz val="12"/>
        <rFont val="Times New Roman"/>
        <family val="1"/>
      </rPr>
      <t>l</t>
    </r>
    <r>
      <rPr>
        <b/>
        <u/>
        <sz val="11"/>
        <rFont val="Arial Narrow"/>
        <family val="2"/>
      </rPr>
      <t>(35+n)</t>
    </r>
  </si>
  <si>
    <r>
      <rPr>
        <b/>
        <i/>
        <sz val="12"/>
        <color indexed="8"/>
        <rFont val="Times New Roman"/>
        <family val="1"/>
      </rPr>
      <t>l</t>
    </r>
    <r>
      <rPr>
        <b/>
        <sz val="11"/>
        <color indexed="8"/>
        <rFont val="Arial Narrow"/>
        <family val="2"/>
      </rPr>
      <t>(35)</t>
    </r>
  </si>
  <si>
    <r>
      <rPr>
        <b/>
        <i/>
        <sz val="12"/>
        <rFont val="Times New Roman"/>
        <family val="1"/>
      </rPr>
      <t>l</t>
    </r>
    <r>
      <rPr>
        <b/>
        <i/>
        <vertAlign val="subscript"/>
        <sz val="11"/>
        <rFont val="Arial Narrow"/>
        <family val="2"/>
      </rPr>
      <t>s</t>
    </r>
    <r>
      <rPr>
        <b/>
        <sz val="11"/>
        <rFont val="Arial Narrow"/>
        <family val="2"/>
      </rPr>
      <t>(35+</t>
    </r>
    <r>
      <rPr>
        <b/>
        <i/>
        <sz val="11"/>
        <rFont val="Arial Narrow"/>
        <family val="2"/>
      </rPr>
      <t>n</t>
    </r>
    <r>
      <rPr>
        <b/>
        <sz val="11"/>
        <rFont val="Arial Narrow"/>
        <family val="2"/>
      </rPr>
      <t>)</t>
    </r>
  </si>
  <si>
    <r>
      <t>(</t>
    </r>
    <r>
      <rPr>
        <b/>
        <i/>
        <sz val="11"/>
        <rFont val="Arial Narrow"/>
        <family val="2"/>
      </rPr>
      <t>N</t>
    </r>
    <r>
      <rPr>
        <b/>
        <sz val="11"/>
        <rFont val="Arial Narrow"/>
        <family val="2"/>
      </rPr>
      <t>+0.75)/2</t>
    </r>
  </si>
  <si>
    <t xml:space="preserve"> 5 - 9</t>
  </si>
  <si>
    <t>Estimation of adult mortality from orphanhood</t>
  </si>
  <si>
    <r>
      <rPr>
        <b/>
        <i/>
        <u/>
        <sz val="12"/>
        <rFont val="Times New Roman"/>
        <family val="1"/>
      </rPr>
      <t>l</t>
    </r>
    <r>
      <rPr>
        <b/>
        <u/>
        <sz val="11"/>
        <rFont val="Arial Narrow"/>
        <family val="2"/>
      </rPr>
      <t>(45)</t>
    </r>
  </si>
  <si>
    <r>
      <rPr>
        <b/>
        <i/>
        <u/>
        <sz val="12"/>
        <rFont val="Times New Roman"/>
        <family val="1"/>
      </rPr>
      <t>l</t>
    </r>
    <r>
      <rPr>
        <b/>
        <u/>
        <sz val="11"/>
        <rFont val="Arial Narrow"/>
        <family val="2"/>
      </rPr>
      <t>(55)</t>
    </r>
  </si>
  <si>
    <r>
      <rPr>
        <b/>
        <i/>
        <sz val="12"/>
        <color indexed="8"/>
        <rFont val="Arial Narrow"/>
        <family val="2"/>
      </rPr>
      <t>l</t>
    </r>
    <r>
      <rPr>
        <b/>
        <sz val="11"/>
        <color indexed="8"/>
        <rFont val="Arial Narrow"/>
        <family val="2"/>
      </rPr>
      <t>(35)</t>
    </r>
  </si>
  <si>
    <r>
      <rPr>
        <b/>
        <i/>
        <u/>
        <sz val="12"/>
        <rFont val="Times New Roman"/>
        <family val="1"/>
      </rPr>
      <t>l</t>
    </r>
    <r>
      <rPr>
        <b/>
        <u/>
        <sz val="11"/>
        <rFont val="Arial Narrow"/>
        <family val="2"/>
      </rPr>
      <t>(35+</t>
    </r>
    <r>
      <rPr>
        <b/>
        <i/>
        <u/>
        <sz val="11"/>
        <rFont val="Arial Narrow"/>
        <family val="2"/>
      </rPr>
      <t>n</t>
    </r>
    <r>
      <rPr>
        <b/>
        <u/>
        <sz val="11"/>
        <rFont val="Arial Narrow"/>
        <family val="2"/>
      </rPr>
      <t>)</t>
    </r>
  </si>
  <si>
    <r>
      <rPr>
        <b/>
        <i/>
        <sz val="12"/>
        <color indexed="8"/>
        <rFont val="Times New Roman"/>
        <family val="1"/>
      </rPr>
      <t>l</t>
    </r>
    <r>
      <rPr>
        <b/>
        <sz val="11"/>
        <color indexed="8"/>
        <rFont val="Arial Narrow"/>
        <family val="2"/>
      </rPr>
      <t>(45)</t>
    </r>
  </si>
  <si>
    <r>
      <rPr>
        <b/>
        <i/>
        <sz val="12"/>
        <color indexed="8"/>
        <rFont val="Times New Roman"/>
        <family val="1"/>
      </rPr>
      <t>l</t>
    </r>
    <r>
      <rPr>
        <b/>
        <sz val="11"/>
        <color indexed="8"/>
        <rFont val="Arial Narrow"/>
        <family val="2"/>
      </rPr>
      <t>(25)</t>
    </r>
  </si>
  <si>
    <r>
      <rPr>
        <b/>
        <i/>
        <sz val="12"/>
        <color indexed="8"/>
        <rFont val="Times New Roman"/>
        <family val="1"/>
      </rPr>
      <t>l</t>
    </r>
    <r>
      <rPr>
        <b/>
        <sz val="11"/>
        <color indexed="8"/>
        <rFont val="Arial Narrow"/>
        <family val="2"/>
      </rPr>
      <t>(55)</t>
    </r>
  </si>
  <si>
    <t>Standard life table</t>
  </si>
  <si>
    <r>
      <rPr>
        <sz val="10"/>
        <rFont val="Calibri"/>
        <family val="2"/>
      </rPr>
      <t>α</t>
    </r>
    <r>
      <rPr>
        <sz val="10"/>
        <rFont val="Arial"/>
        <family val="2"/>
      </rPr>
      <t xml:space="preserve"> =</t>
    </r>
  </si>
  <si>
    <r>
      <rPr>
        <sz val="10"/>
        <rFont val="Calibri"/>
        <family val="2"/>
      </rPr>
      <t>β</t>
    </r>
    <r>
      <rPr>
        <sz val="10"/>
        <rFont val="Arial"/>
        <family val="2"/>
      </rPr>
      <t xml:space="preserve"> =</t>
    </r>
  </si>
  <si>
    <t>UN General</t>
  </si>
  <si>
    <t>Modified</t>
  </si>
  <si>
    <r>
      <rPr>
        <b/>
        <i/>
        <sz val="11"/>
        <rFont val="Arial Narrow"/>
        <family val="2"/>
      </rPr>
      <t>e</t>
    </r>
    <r>
      <rPr>
        <b/>
        <vertAlign val="subscript"/>
        <sz val="11"/>
        <rFont val="Arial Narrow"/>
        <family val="2"/>
      </rPr>
      <t>0</t>
    </r>
    <r>
      <rPr>
        <b/>
        <sz val="11"/>
        <rFont val="Arial Narrow"/>
        <family val="2"/>
      </rPr>
      <t xml:space="preserve"> = 60</t>
    </r>
  </si>
  <si>
    <r>
      <rPr>
        <b/>
        <i/>
        <sz val="11"/>
        <rFont val="Arial Narrow"/>
        <family val="2"/>
      </rPr>
      <t>Y</t>
    </r>
    <r>
      <rPr>
        <b/>
        <vertAlign val="subscript"/>
        <sz val="11"/>
        <rFont val="Arial Narrow"/>
        <family val="2"/>
      </rPr>
      <t>s</t>
    </r>
    <r>
      <rPr>
        <b/>
        <sz val="11"/>
        <rFont val="Arial Narrow"/>
        <family val="2"/>
      </rPr>
      <t>(</t>
    </r>
    <r>
      <rPr>
        <b/>
        <i/>
        <sz val="11"/>
        <rFont val="Arial Narrow"/>
        <family val="2"/>
      </rPr>
      <t>x</t>
    </r>
    <r>
      <rPr>
        <b/>
        <sz val="11"/>
        <rFont val="Arial Narrow"/>
        <family val="2"/>
      </rPr>
      <t>)</t>
    </r>
  </si>
  <si>
    <r>
      <rPr>
        <b/>
        <i/>
        <sz val="11"/>
        <rFont val="Arial Narrow"/>
        <family val="2"/>
      </rPr>
      <t>Y</t>
    </r>
    <r>
      <rPr>
        <b/>
        <sz val="11"/>
        <rFont val="Arial Narrow"/>
        <family val="2"/>
      </rPr>
      <t>(</t>
    </r>
    <r>
      <rPr>
        <b/>
        <i/>
        <sz val="11"/>
        <rFont val="Arial Narrow"/>
        <family val="2"/>
      </rPr>
      <t>x</t>
    </r>
    <r>
      <rPr>
        <b/>
        <sz val="11"/>
        <rFont val="Arial Narrow"/>
        <family val="2"/>
      </rPr>
      <t>)</t>
    </r>
  </si>
  <si>
    <r>
      <rPr>
        <b/>
        <i/>
        <sz val="12"/>
        <rFont val="Times New Roman"/>
        <family val="1"/>
      </rPr>
      <t>l</t>
    </r>
    <r>
      <rPr>
        <b/>
        <sz val="11"/>
        <rFont val="Arial Narrow"/>
        <family val="2"/>
      </rPr>
      <t>(</t>
    </r>
    <r>
      <rPr>
        <b/>
        <i/>
        <sz val="11"/>
        <rFont val="Arial Narrow"/>
        <family val="2"/>
      </rPr>
      <t>x</t>
    </r>
    <r>
      <rPr>
        <b/>
        <sz val="11"/>
        <rFont val="Arial Narrow"/>
        <family val="2"/>
      </rPr>
      <t>)</t>
    </r>
  </si>
  <si>
    <r>
      <rPr>
        <b/>
        <i/>
        <sz val="12"/>
        <rFont val="Times New Roman"/>
        <family val="1"/>
      </rPr>
      <t>l</t>
    </r>
    <r>
      <rPr>
        <b/>
        <i/>
        <vertAlign val="subscript"/>
        <sz val="11"/>
        <rFont val="Arial Narrow"/>
        <family val="2"/>
      </rPr>
      <t>s</t>
    </r>
    <r>
      <rPr>
        <b/>
        <sz val="11"/>
        <rFont val="Arial Narrow"/>
        <family val="2"/>
      </rPr>
      <t>(55)</t>
    </r>
  </si>
  <si>
    <t>Father</t>
  </si>
  <si>
    <t>Version 1.0 Date: 8/11/2011</t>
  </si>
  <si>
    <t xml:space="preserve">This method is described at: </t>
  </si>
  <si>
    <t>http://www.urlhere.com</t>
  </si>
  <si>
    <t>Data entry:</t>
  </si>
  <si>
    <t>Input parameters</t>
  </si>
  <si>
    <t>Name of country/population:</t>
  </si>
  <si>
    <t>Select standard life table:</t>
  </si>
  <si>
    <t>Select summary index:</t>
  </si>
  <si>
    <t>30q30</t>
  </si>
  <si>
    <t>Enter date of interview:</t>
  </si>
  <si>
    <t>This spreadsheet estimates adult women's and men's mortality from proportions of respondents with living mothers and fathers when a supplementary question has been asked to distinguish respondents orphaned in adulthood (i.e. since their first marriage or first birth) from those orphaned as children.</t>
  </si>
  <si>
    <t>still alive</t>
  </si>
  <si>
    <t>Calculation of the mean age at childbearing</t>
  </si>
  <si>
    <t xml:space="preserve">Births by: </t>
  </si>
  <si>
    <t>age at interview</t>
  </si>
  <si>
    <t>Births in the</t>
  </si>
  <si>
    <t>last year</t>
  </si>
  <si>
    <r>
      <rPr>
        <b/>
        <i/>
        <sz val="11"/>
        <rFont val="Arial Narrow"/>
        <family val="2"/>
      </rPr>
      <t>B</t>
    </r>
    <r>
      <rPr>
        <b/>
        <sz val="11"/>
        <rFont val="Arial Narrow"/>
        <family val="2"/>
      </rPr>
      <t>(</t>
    </r>
    <r>
      <rPr>
        <b/>
        <i/>
        <sz val="11"/>
        <rFont val="Arial Narrow"/>
        <family val="2"/>
      </rPr>
      <t>i</t>
    </r>
    <r>
      <rPr>
        <b/>
        <sz val="11"/>
        <rFont val="Arial Narrow"/>
        <family val="2"/>
      </rPr>
      <t>)</t>
    </r>
  </si>
  <si>
    <r>
      <rPr>
        <b/>
        <i/>
        <sz val="11"/>
        <rFont val="Arial Narrow"/>
        <family val="2"/>
      </rPr>
      <t>B</t>
    </r>
    <r>
      <rPr>
        <b/>
        <sz val="11"/>
        <rFont val="Arial Narrow"/>
        <family val="2"/>
      </rPr>
      <t>(</t>
    </r>
    <r>
      <rPr>
        <b/>
        <i/>
        <sz val="11"/>
        <rFont val="Arial Narrow"/>
        <family val="2"/>
      </rPr>
      <t>i</t>
    </r>
    <r>
      <rPr>
        <b/>
        <sz val="11"/>
        <rFont val="Arial Narrow"/>
        <family val="2"/>
      </rPr>
      <t>)*</t>
    </r>
    <r>
      <rPr>
        <b/>
        <i/>
        <sz val="11"/>
        <rFont val="Arial Narrow"/>
        <family val="2"/>
      </rPr>
      <t>N</t>
    </r>
  </si>
  <si>
    <r>
      <rPr>
        <b/>
        <i/>
        <sz val="10"/>
        <rFont val="Arial"/>
        <family val="2"/>
      </rPr>
      <t>M</t>
    </r>
    <r>
      <rPr>
        <b/>
        <sz val="10"/>
        <rFont val="Arial"/>
        <family val="2"/>
      </rPr>
      <t xml:space="preserve"> =</t>
    </r>
  </si>
  <si>
    <r>
      <t>M</t>
    </r>
    <r>
      <rPr>
        <b/>
        <i/>
        <vertAlign val="superscript"/>
        <sz val="12"/>
        <rFont val="Arial Narrow"/>
        <family val="2"/>
      </rPr>
      <t>f</t>
    </r>
    <r>
      <rPr>
        <b/>
        <i/>
        <sz val="12"/>
        <rFont val="Arial Narrow"/>
        <family val="2"/>
      </rPr>
      <t xml:space="preserve"> = </t>
    </r>
  </si>
  <si>
    <t>Age difference</t>
  </si>
  <si>
    <r>
      <t>M</t>
    </r>
    <r>
      <rPr>
        <b/>
        <i/>
        <vertAlign val="superscript"/>
        <sz val="12"/>
        <rFont val="Arial Narrow"/>
        <family val="2"/>
      </rPr>
      <t>m</t>
    </r>
    <r>
      <rPr>
        <b/>
        <i/>
        <sz val="12"/>
        <rFont val="Arial Narrow"/>
        <family val="2"/>
      </rPr>
      <t xml:space="preserve"> = </t>
    </r>
  </si>
  <si>
    <t>Married men</t>
  </si>
  <si>
    <t>Married women</t>
  </si>
  <si>
    <t xml:space="preserve"> Cum. % of marr. men</t>
  </si>
  <si>
    <t xml:space="preserve"> Cum. % of marr. wom.</t>
  </si>
  <si>
    <t>Instructions</t>
  </si>
  <si>
    <t>1)</t>
  </si>
  <si>
    <t>Select the name of family of model life tables against which you want to assess the level and trend in mortality in this population using the drop down box to the right of this cell.</t>
  </si>
  <si>
    <t>2)</t>
  </si>
  <si>
    <t>3)</t>
  </si>
  <si>
    <t>4)</t>
  </si>
  <si>
    <t>5)</t>
  </si>
  <si>
    <t>OR</t>
  </si>
  <si>
    <t>Enter the mean date of interview or mid-point of the period over which fieldwork for the inquiry was conducted to the right of this cell using the format DD/MM/YYYY.</t>
  </si>
  <si>
    <t>Select the summary index of adult mortality that you wish to tabulate and plot using the drop down box to the right of this cell.</t>
  </si>
  <si>
    <t>Enter the name of the country or population to the right of this cell.</t>
  </si>
  <si>
    <t>6)</t>
  </si>
  <si>
    <t>7)</t>
  </si>
  <si>
    <t>8)</t>
  </si>
  <si>
    <t>9)</t>
  </si>
  <si>
    <t>10)</t>
  </si>
  <si>
    <t>11)</t>
  </si>
  <si>
    <r>
      <t xml:space="preserve">If you have data on the proportions of respondents with living mothers by age group, enter these into cells </t>
    </r>
    <r>
      <rPr>
        <b/>
        <sz val="12"/>
        <rFont val="Arial"/>
        <family val="2"/>
      </rPr>
      <t>E6:E14</t>
    </r>
    <r>
      <rPr>
        <sz val="12"/>
        <rFont val="Arial"/>
        <family val="2"/>
      </rPr>
      <t xml:space="preserve"> of the </t>
    </r>
    <r>
      <rPr>
        <b/>
        <i/>
        <sz val="12"/>
        <rFont val="Arial"/>
        <family val="2"/>
      </rPr>
      <t>"Maternal orphanhood"</t>
    </r>
    <r>
      <rPr>
        <sz val="12"/>
        <rFont val="Arial"/>
        <family val="2"/>
      </rPr>
      <t xml:space="preserve"> sheet. If they are expressed as percentages, divide them by 100 before doing this.</t>
    </r>
  </si>
  <si>
    <r>
      <t xml:space="preserve">If you have data on numbers of respondents and number with living fathers by age group, enter these into cells </t>
    </r>
    <r>
      <rPr>
        <b/>
        <sz val="12"/>
        <rFont val="Arial"/>
        <family val="2"/>
      </rPr>
      <t>C6:D13</t>
    </r>
    <r>
      <rPr>
        <sz val="12"/>
        <rFont val="Arial"/>
        <family val="2"/>
      </rPr>
      <t xml:space="preserve"> of the </t>
    </r>
    <r>
      <rPr>
        <b/>
        <i/>
        <sz val="12"/>
        <rFont val="Arial"/>
        <family val="2"/>
      </rPr>
      <t>"Paternal orphanhood"</t>
    </r>
    <r>
      <rPr>
        <sz val="12"/>
        <rFont val="Arial"/>
        <family val="2"/>
      </rPr>
      <t xml:space="preserve"> sheet. The counts of respondents should exclude anyone who did not know whether their father was alive or did not answer the question.</t>
    </r>
  </si>
  <si>
    <r>
      <t xml:space="preserve">To calculate the mean age of childbearing of women, enter the number of births in the year before the survey by age of mother into cells </t>
    </r>
    <r>
      <rPr>
        <b/>
        <sz val="12"/>
        <rFont val="Arial"/>
        <family val="2"/>
      </rPr>
      <t>C47:C53</t>
    </r>
    <r>
      <rPr>
        <sz val="12"/>
        <rFont val="Arial"/>
        <family val="2"/>
      </rPr>
      <t xml:space="preserve"> of the </t>
    </r>
    <r>
      <rPr>
        <b/>
        <i/>
        <sz val="12"/>
        <rFont val="Arial"/>
        <family val="2"/>
      </rPr>
      <t>"Maternal orphanhood"</t>
    </r>
    <r>
      <rPr>
        <sz val="12"/>
        <rFont val="Arial"/>
        <family val="2"/>
      </rPr>
      <t xml:space="preserve"> sheet. By default, it is assumed that the births are tabulated by women's age at interview, not age at giving birth but there is an option to change this.</t>
    </r>
  </si>
  <si>
    <r>
      <t xml:space="preserve">To estimate the mean age of childbearing of men, enter the numbers of currently married men and women by age group into cells </t>
    </r>
    <r>
      <rPr>
        <b/>
        <sz val="12"/>
        <rFont val="Arial"/>
        <family val="2"/>
      </rPr>
      <t>B23:C37</t>
    </r>
    <r>
      <rPr>
        <sz val="12"/>
        <rFont val="Arial"/>
        <family val="2"/>
      </rPr>
      <t xml:space="preserve"> of the</t>
    </r>
    <r>
      <rPr>
        <b/>
        <i/>
        <sz val="12"/>
        <rFont val="Arial"/>
        <family val="2"/>
      </rPr>
      <t xml:space="preserve"> "Paternal orphanhood"</t>
    </r>
    <r>
      <rPr>
        <sz val="12"/>
        <rFont val="Arial"/>
        <family val="2"/>
      </rPr>
      <t xml:space="preserve"> sheet. These data are used to calculate the median ages of the currently married and should include all married individuals of any age, but you can insert data with any open-ended age group with an initial age exceeding these medians, which are unlikely to be more than 45.</t>
    </r>
  </si>
  <si>
    <t>Princeton East</t>
  </si>
  <si>
    <t>Princeton North</t>
  </si>
  <si>
    <t>Princeton South</t>
  </si>
  <si>
    <t>Princeton West</t>
  </si>
  <si>
    <r>
      <t xml:space="preserve">Enter estimates of the mean age at first marriage (or first birth) of the respondents in cells </t>
    </r>
    <r>
      <rPr>
        <b/>
        <sz val="12"/>
        <rFont val="Arial"/>
        <family val="2"/>
      </rPr>
      <t>F35:F40</t>
    </r>
    <r>
      <rPr>
        <sz val="12"/>
        <rFont val="Arial"/>
        <family val="2"/>
      </rPr>
      <t xml:space="preserve"> of the </t>
    </r>
    <r>
      <rPr>
        <b/>
        <i/>
        <sz val="12"/>
        <rFont val="Arial"/>
        <family val="2"/>
      </rPr>
      <t>"Maternal orphanhood"</t>
    </r>
    <r>
      <rPr>
        <sz val="12"/>
        <rFont val="Arial"/>
        <family val="2"/>
      </rPr>
      <t xml:space="preserve"> sheet and cells </t>
    </r>
    <r>
      <rPr>
        <b/>
        <sz val="12"/>
        <rFont val="Arial"/>
        <family val="2"/>
      </rPr>
      <t>F32:F36</t>
    </r>
    <r>
      <rPr>
        <sz val="12"/>
        <rFont val="Arial"/>
        <family val="2"/>
      </rPr>
      <t xml:space="preserve"> of the </t>
    </r>
    <r>
      <rPr>
        <b/>
        <i/>
        <sz val="12"/>
        <rFont val="Arial"/>
        <family val="2"/>
      </rPr>
      <t>"Paternal orphanhood"</t>
    </r>
    <r>
      <rPr>
        <sz val="12"/>
        <rFont val="Arial"/>
        <family val="2"/>
      </rPr>
      <t xml:space="preserve"> sheet. These may have risen steeply over time and the estimates should be approximately correct for each cohort of respondents.</t>
    </r>
  </si>
  <si>
    <r>
      <t xml:space="preserve">If you have data on the proportions of respondents with living fathers by age group, enter these into cells </t>
    </r>
    <r>
      <rPr>
        <b/>
        <sz val="12"/>
        <rFont val="Arial"/>
        <family val="2"/>
      </rPr>
      <t>E6:E13</t>
    </r>
    <r>
      <rPr>
        <sz val="12"/>
        <rFont val="Arial"/>
        <family val="2"/>
      </rPr>
      <t xml:space="preserve"> of the </t>
    </r>
    <r>
      <rPr>
        <b/>
        <i/>
        <sz val="12"/>
        <rFont val="Arial"/>
        <family val="2"/>
      </rPr>
      <t>"Paternal orphanhood"</t>
    </r>
    <r>
      <rPr>
        <sz val="12"/>
        <rFont val="Arial"/>
        <family val="2"/>
      </rPr>
      <t xml:space="preserve"> sheet. If they are expressed as percentages, divide them by 100 before doing this.</t>
    </r>
  </si>
  <si>
    <t>Estimation of adult  mortality from orphanhood before and since 1st marriage</t>
  </si>
  <si>
    <r>
      <t xml:space="preserve">If you have data on the number of respondents and number with living mothers by age group, enter these into cells </t>
    </r>
    <r>
      <rPr>
        <b/>
        <sz val="12"/>
        <rFont val="Arial"/>
        <family val="2"/>
      </rPr>
      <t>C6:D14</t>
    </r>
    <r>
      <rPr>
        <sz val="12"/>
        <rFont val="Arial"/>
        <family val="2"/>
      </rPr>
      <t xml:space="preserve"> of the </t>
    </r>
    <r>
      <rPr>
        <b/>
        <i/>
        <sz val="12"/>
        <rFont val="Arial"/>
        <family val="2"/>
      </rPr>
      <t>"Maternal orphanhood"</t>
    </r>
    <r>
      <rPr>
        <sz val="12"/>
        <rFont val="Arial"/>
        <family val="2"/>
      </rPr>
      <t xml:space="preserve"> sheet. The counts of respondents should exclude anyone who did not know whether their mother was alive or did not answer the question.</t>
    </r>
  </si>
  <si>
    <r>
      <t xml:space="preserve">Similarly, enter the data on the numbers of respondents who had living mothers when they first married and whose mother is still alive by age group in cells </t>
    </r>
    <r>
      <rPr>
        <b/>
        <sz val="12"/>
        <rFont val="Arial"/>
        <family val="2"/>
      </rPr>
      <t>C21:D26</t>
    </r>
    <r>
      <rPr>
        <sz val="12"/>
        <rFont val="Arial"/>
        <family val="2"/>
      </rPr>
      <t xml:space="preserve"> of the </t>
    </r>
    <r>
      <rPr>
        <b/>
        <i/>
        <sz val="12"/>
        <rFont val="Arial"/>
        <family val="2"/>
      </rPr>
      <t>"Maternal orphanhood"</t>
    </r>
    <r>
      <rPr>
        <sz val="12"/>
        <rFont val="Arial"/>
        <family val="2"/>
      </rPr>
      <t xml:space="preserve"> sheet or the proportions of mothers surviving from when the respondents married to the survey into cells </t>
    </r>
    <r>
      <rPr>
        <b/>
        <sz val="12"/>
        <rFont val="Arial"/>
        <family val="2"/>
      </rPr>
      <t>E21:E26</t>
    </r>
    <r>
      <rPr>
        <sz val="12"/>
        <rFont val="Arial"/>
        <family val="2"/>
      </rPr>
      <t xml:space="preserve">. Then enter total respondents and those who had living mothers when they first married in cells </t>
    </r>
    <r>
      <rPr>
        <b/>
        <sz val="12"/>
        <rFont val="Arial"/>
        <family val="2"/>
      </rPr>
      <t>C35:D39</t>
    </r>
    <r>
      <rPr>
        <sz val="12"/>
        <rFont val="Arial"/>
        <family val="2"/>
      </rPr>
      <t xml:space="preserve"> or the proportions of mothers surviving from when the respondents married to the survey into cells </t>
    </r>
    <r>
      <rPr>
        <b/>
        <sz val="12"/>
        <rFont val="Arial"/>
        <family val="2"/>
      </rPr>
      <t>E35:E39</t>
    </r>
    <r>
      <rPr>
        <sz val="12"/>
        <rFont val="Arial"/>
        <family val="2"/>
      </rPr>
      <t xml:space="preserve">. (N.B. due to non-response, the numbers in cells </t>
    </r>
    <r>
      <rPr>
        <b/>
        <sz val="12"/>
        <rFont val="Arial"/>
        <family val="2"/>
      </rPr>
      <t>D21:D25</t>
    </r>
    <r>
      <rPr>
        <sz val="12"/>
        <rFont val="Arial"/>
        <family val="2"/>
      </rPr>
      <t xml:space="preserve"> may not be identical to those in cells </t>
    </r>
    <r>
      <rPr>
        <b/>
        <sz val="12"/>
        <rFont val="Arial"/>
        <family val="2"/>
      </rPr>
      <t>D10:D14</t>
    </r>
    <r>
      <rPr>
        <sz val="12"/>
        <rFont val="Arial"/>
        <family val="2"/>
      </rPr>
      <t xml:space="preserve"> and those in cells </t>
    </r>
    <r>
      <rPr>
        <b/>
        <sz val="12"/>
        <rFont val="Arial"/>
        <family val="2"/>
      </rPr>
      <t>C35:C39</t>
    </r>
    <r>
      <rPr>
        <sz val="12"/>
        <rFont val="Arial"/>
        <family val="2"/>
      </rPr>
      <t xml:space="preserve"> may not be identical to those in cells </t>
    </r>
    <r>
      <rPr>
        <b/>
        <sz val="12"/>
        <rFont val="Arial"/>
        <family val="2"/>
      </rPr>
      <t>C10:C14</t>
    </r>
    <r>
      <rPr>
        <sz val="12"/>
        <rFont val="Arial"/>
        <family val="2"/>
      </rPr>
      <t>).</t>
    </r>
  </si>
  <si>
    <r>
      <t xml:space="preserve">Similarly, enter the data on the numbers of respondents who had living fathers when they first married and whose father is still alive by age group in cells </t>
    </r>
    <r>
      <rPr>
        <b/>
        <sz val="12"/>
        <rFont val="Arial"/>
        <family val="2"/>
      </rPr>
      <t>C20:D23</t>
    </r>
    <r>
      <rPr>
        <sz val="12"/>
        <rFont val="Arial"/>
        <family val="2"/>
      </rPr>
      <t xml:space="preserve"> of the </t>
    </r>
    <r>
      <rPr>
        <b/>
        <i/>
        <sz val="12"/>
        <rFont val="Arial"/>
        <family val="2"/>
      </rPr>
      <t>"Paternal orphanhood"</t>
    </r>
    <r>
      <rPr>
        <sz val="12"/>
        <rFont val="Arial"/>
        <family val="2"/>
      </rPr>
      <t xml:space="preserve"> sheet or the proportions of fathers surviving from when the respondents married to the survey into cells </t>
    </r>
    <r>
      <rPr>
        <b/>
        <sz val="12"/>
        <rFont val="Arial"/>
        <family val="2"/>
      </rPr>
      <t>E20:E23</t>
    </r>
    <r>
      <rPr>
        <sz val="12"/>
        <rFont val="Arial"/>
        <family val="2"/>
      </rPr>
      <t xml:space="preserve">. Then enter total respondents and those who had living fathers when they first married in cells </t>
    </r>
    <r>
      <rPr>
        <b/>
        <sz val="12"/>
        <rFont val="Arial"/>
        <family val="2"/>
      </rPr>
      <t>C32:D36</t>
    </r>
    <r>
      <rPr>
        <sz val="12"/>
        <rFont val="Arial"/>
        <family val="2"/>
      </rPr>
      <t xml:space="preserve"> or the proportions of fathers surviving from when the respondents married to the survey into cells </t>
    </r>
    <r>
      <rPr>
        <b/>
        <sz val="12"/>
        <rFont val="Arial"/>
        <family val="2"/>
      </rPr>
      <t>E32:E36</t>
    </r>
    <r>
      <rPr>
        <sz val="12"/>
        <rFont val="Arial"/>
        <family val="2"/>
      </rPr>
      <t xml:space="preserve">.  (N.B. due to non-response, the numbers in cells </t>
    </r>
    <r>
      <rPr>
        <b/>
        <sz val="12"/>
        <rFont val="Arial"/>
        <family val="2"/>
      </rPr>
      <t>D20:D23</t>
    </r>
    <r>
      <rPr>
        <sz val="12"/>
        <rFont val="Arial"/>
        <family val="2"/>
      </rPr>
      <t xml:space="preserve"> may not be identical to those in cells </t>
    </r>
    <r>
      <rPr>
        <b/>
        <sz val="12"/>
        <rFont val="Arial"/>
        <family val="2"/>
      </rPr>
      <t>D10:D13</t>
    </r>
    <r>
      <rPr>
        <sz val="12"/>
        <rFont val="Arial"/>
        <family val="2"/>
      </rPr>
      <t xml:space="preserve"> and those in cells </t>
    </r>
    <r>
      <rPr>
        <b/>
        <sz val="12"/>
        <rFont val="Arial"/>
        <family val="2"/>
      </rPr>
      <t>C32:C35</t>
    </r>
    <r>
      <rPr>
        <sz val="12"/>
        <rFont val="Arial"/>
        <family val="2"/>
      </rPr>
      <t xml:space="preserve"> may not be identical to those in cells </t>
    </r>
    <r>
      <rPr>
        <b/>
        <sz val="12"/>
        <rFont val="Arial"/>
        <family val="2"/>
      </rPr>
      <t>C10:C13</t>
    </r>
    <r>
      <rPr>
        <sz val="12"/>
        <rFont val="Arial"/>
        <family val="2"/>
      </rPr>
      <t>).</t>
    </r>
  </si>
  <si>
    <t>Regression coefficients - (Timaeus, 1992)</t>
  </si>
  <si>
    <t>Regression coefficients - (Timaeus, 1991)</t>
  </si>
  <si>
    <t>Probability of  dying</t>
  </si>
  <si>
    <t>Mean age at child bearing</t>
  </si>
  <si>
    <t>Mother alive at 1st marriage</t>
  </si>
  <si>
    <t>Mean age at 1st marriage</t>
  </si>
  <si>
    <t>Father alive at 1st marriage</t>
  </si>
  <si>
    <t>Group</t>
  </si>
  <si>
    <t>Age group</t>
  </si>
  <si>
    <t>55-59</t>
  </si>
  <si>
    <t>60-64</t>
  </si>
  <si>
    <t>65-69</t>
  </si>
  <si>
    <t>70-74</t>
  </si>
  <si>
    <t>75-79</t>
  </si>
  <si>
    <t>80+</t>
  </si>
  <si>
    <t xml:space="preserve">Calculation of the median ages of the married </t>
  </si>
  <si>
    <t xml:space="preserve">Calculation of the mean age at childbearing </t>
  </si>
  <si>
    <r>
      <t xml:space="preserve">Model life table logits </t>
    </r>
    <r>
      <rPr>
        <b/>
        <i/>
        <sz val="12"/>
        <rFont val="Arial"/>
        <family val="2"/>
      </rPr>
      <t>e</t>
    </r>
    <r>
      <rPr>
        <b/>
        <vertAlign val="subscript"/>
        <sz val="12"/>
        <rFont val="Arial"/>
        <family val="2"/>
      </rPr>
      <t>0</t>
    </r>
    <r>
      <rPr>
        <b/>
        <sz val="12"/>
        <rFont val="Arial"/>
        <family val="2"/>
      </rPr>
      <t>=60, both sexes</t>
    </r>
  </si>
  <si>
    <t>Regression coefficients - Timaeus (1992)</t>
  </si>
  <si>
    <t>Regression coefficients - Timaeus (1991)</t>
  </si>
  <si>
    <t>Men before marriage</t>
  </si>
  <si>
    <t>Men since marriage</t>
  </si>
  <si>
    <t>Men, lifetime</t>
  </si>
  <si>
    <t>Women, lifetime</t>
  </si>
  <si>
    <t>Women since marriage</t>
  </si>
  <si>
    <t>Women before marriage</t>
  </si>
</sst>
</file>

<file path=xl/styles.xml><?xml version="1.0" encoding="utf-8"?>
<styleSheet xmlns="http://schemas.openxmlformats.org/spreadsheetml/2006/main">
  <numFmts count="12">
    <numFmt numFmtId="43" formatCode="_-* #,##0.00_-;\-* #,##0.00_-;_-* &quot;-&quot;??_-;_-@_-"/>
    <numFmt numFmtId="164" formatCode="0.0000_)"/>
    <numFmt numFmtId="165" formatCode="0_)"/>
    <numFmt numFmtId="166" formatCode="0.0_)"/>
    <numFmt numFmtId="167" formatCode="0.000_)"/>
    <numFmt numFmtId="168" formatCode="0.00_)"/>
    <numFmt numFmtId="169" formatCode="General_)"/>
    <numFmt numFmtId="170" formatCode="0.0000"/>
    <numFmt numFmtId="171" formatCode="0.00000"/>
    <numFmt numFmtId="172" formatCode="0.00000_)"/>
    <numFmt numFmtId="173" formatCode="#,##0.0000"/>
    <numFmt numFmtId="174" formatCode="_ * #,##0.00_ ;_ * \-#,##0.00_ ;_ * &quot;-&quot;??_ ;_ @_ "/>
  </numFmts>
  <fonts count="48">
    <font>
      <sz val="10"/>
      <name val="Courier"/>
    </font>
    <font>
      <sz val="11"/>
      <name val="Times New Roman"/>
      <family val="1"/>
    </font>
    <font>
      <sz val="11"/>
      <name val="Times New Roman"/>
      <family val="1"/>
    </font>
    <font>
      <sz val="11"/>
      <color indexed="12"/>
      <name val="Times New Roman"/>
      <family val="1"/>
    </font>
    <font>
      <sz val="10"/>
      <name val="Courier"/>
      <family val="3"/>
    </font>
    <font>
      <b/>
      <sz val="10"/>
      <name val="Courier"/>
      <family val="3"/>
    </font>
    <font>
      <b/>
      <sz val="12"/>
      <name val="Arial"/>
      <family val="2"/>
    </font>
    <font>
      <sz val="10"/>
      <name val="Arial"/>
      <family val="2"/>
    </font>
    <font>
      <b/>
      <sz val="11"/>
      <name val="Arial Narrow"/>
      <family val="2"/>
    </font>
    <font>
      <sz val="12"/>
      <name val="Arial Narrow"/>
      <family val="2"/>
    </font>
    <font>
      <b/>
      <i/>
      <sz val="11"/>
      <name val="Arial Narrow"/>
      <family val="2"/>
    </font>
    <font>
      <b/>
      <i/>
      <vertAlign val="subscript"/>
      <sz val="11"/>
      <name val="Arial Narrow"/>
      <family val="2"/>
    </font>
    <font>
      <sz val="12"/>
      <name val="Arial"/>
      <family val="2"/>
    </font>
    <font>
      <u/>
      <sz val="10"/>
      <color indexed="8"/>
      <name val="Arial"/>
      <family val="2"/>
    </font>
    <font>
      <u/>
      <sz val="10"/>
      <name val="Arial"/>
      <family val="2"/>
    </font>
    <font>
      <sz val="10"/>
      <color indexed="8"/>
      <name val="Arial"/>
      <family val="2"/>
    </font>
    <font>
      <b/>
      <sz val="11"/>
      <name val="Arial"/>
      <family val="2"/>
    </font>
    <font>
      <b/>
      <u/>
      <sz val="11"/>
      <name val="Arial Narrow"/>
      <family val="2"/>
    </font>
    <font>
      <b/>
      <i/>
      <u/>
      <sz val="12"/>
      <name val="Times New Roman"/>
      <family val="1"/>
    </font>
    <font>
      <b/>
      <i/>
      <u/>
      <sz val="11"/>
      <name val="Arial Narrow"/>
      <family val="2"/>
    </font>
    <font>
      <sz val="10"/>
      <name val="Arial Narrow"/>
      <family val="2"/>
    </font>
    <font>
      <b/>
      <sz val="11"/>
      <color indexed="8"/>
      <name val="Times New Roman"/>
      <family val="1"/>
    </font>
    <font>
      <b/>
      <i/>
      <sz val="12"/>
      <color indexed="8"/>
      <name val="Times New Roman"/>
      <family val="1"/>
    </font>
    <font>
      <b/>
      <i/>
      <sz val="12"/>
      <name val="Times New Roman"/>
      <family val="1"/>
    </font>
    <font>
      <b/>
      <sz val="11"/>
      <color indexed="8"/>
      <name val="Arial Narrow"/>
      <family val="2"/>
    </font>
    <font>
      <sz val="11"/>
      <name val="Arial Narrow"/>
      <family val="2"/>
    </font>
    <font>
      <b/>
      <sz val="11"/>
      <name val="Calibri"/>
      <family val="2"/>
    </font>
    <font>
      <sz val="10"/>
      <name val="Calibri"/>
      <family val="2"/>
    </font>
    <font>
      <b/>
      <sz val="12"/>
      <name val="Arial Narrow"/>
      <family val="2"/>
    </font>
    <font>
      <b/>
      <i/>
      <sz val="10"/>
      <name val="Arial"/>
      <family val="2"/>
    </font>
    <font>
      <sz val="10"/>
      <color indexed="12"/>
      <name val="Arial"/>
      <family val="2"/>
    </font>
    <font>
      <b/>
      <i/>
      <sz val="12"/>
      <color indexed="8"/>
      <name val="Arial Narrow"/>
      <family val="2"/>
    </font>
    <font>
      <b/>
      <vertAlign val="subscript"/>
      <sz val="11"/>
      <name val="Arial Narrow"/>
      <family val="2"/>
    </font>
    <font>
      <sz val="12"/>
      <name val="Courier"/>
      <family val="3"/>
    </font>
    <font>
      <sz val="12"/>
      <color theme="0"/>
      <name val="Arial"/>
      <family val="2"/>
    </font>
    <font>
      <u/>
      <sz val="10"/>
      <color theme="10"/>
      <name val="Arial"/>
      <family val="2"/>
    </font>
    <font>
      <u/>
      <sz val="12"/>
      <color theme="10"/>
      <name val="Arial"/>
      <family val="2"/>
    </font>
    <font>
      <i/>
      <sz val="12"/>
      <name val="Arial"/>
      <family val="2"/>
    </font>
    <font>
      <sz val="12"/>
      <color rgb="FFFF0000"/>
      <name val="Arial"/>
      <family val="2"/>
    </font>
    <font>
      <sz val="11"/>
      <color indexed="8"/>
      <name val="Calibri"/>
      <family val="2"/>
    </font>
    <font>
      <sz val="8"/>
      <name val="SAS Monospace"/>
    </font>
    <font>
      <sz val="9"/>
      <color indexed="81"/>
      <name val="Tahoma"/>
      <family val="2"/>
    </font>
    <font>
      <b/>
      <sz val="10"/>
      <name val="Arial"/>
      <family val="2"/>
    </font>
    <font>
      <b/>
      <i/>
      <sz val="12"/>
      <name val="Arial Narrow"/>
      <family val="2"/>
    </font>
    <font>
      <b/>
      <i/>
      <vertAlign val="superscript"/>
      <sz val="12"/>
      <name val="Arial Narrow"/>
      <family val="2"/>
    </font>
    <font>
      <i/>
      <sz val="10"/>
      <name val="Arial"/>
      <family val="2"/>
    </font>
    <font>
      <b/>
      <i/>
      <sz val="12"/>
      <name val="Arial"/>
      <family val="2"/>
    </font>
    <font>
      <b/>
      <vertAlign val="subscript"/>
      <sz val="12"/>
      <name val="Arial"/>
      <family val="2"/>
    </font>
  </fonts>
  <fills count="7">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rgb="FFFFEB9B"/>
        <bgColor indexed="64"/>
      </patternFill>
    </fill>
    <fill>
      <patternFill patternType="solid">
        <fgColor rgb="FFFFEB9C"/>
        <bgColor indexed="64"/>
      </patternFill>
    </fill>
    <fill>
      <patternFill patternType="solid">
        <fgColor theme="5" tint="0.39997558519241921"/>
        <bgColor indexed="64"/>
      </patternFill>
    </fill>
  </fills>
  <borders count="14">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style="thin">
        <color theme="9" tint="-0.249977111117893"/>
      </right>
      <top/>
      <bottom style="thin">
        <color theme="9" tint="-0.249977111117893"/>
      </bottom>
      <diagonal/>
    </border>
    <border>
      <left/>
      <right/>
      <top style="thin">
        <color indexed="64"/>
      </top>
      <bottom style="thin">
        <color indexed="64"/>
      </bottom>
      <diagonal/>
    </border>
  </borders>
  <cellStyleXfs count="11">
    <xf numFmtId="164" fontId="0" fillId="0" borderId="0"/>
    <xf numFmtId="43" fontId="1" fillId="0" borderId="0" applyFont="0" applyFill="0" applyBorder="0" applyAlignment="0" applyProtection="0"/>
    <xf numFmtId="164" fontId="4" fillId="0" borderId="0"/>
    <xf numFmtId="164" fontId="4" fillId="0" borderId="0"/>
    <xf numFmtId="0" fontId="7" fillId="0" borderId="0"/>
    <xf numFmtId="169" fontId="33" fillId="0" borderId="0"/>
    <xf numFmtId="0" fontId="35" fillId="0" borderId="0" applyNumberFormat="0" applyFill="0" applyBorder="0" applyAlignment="0" applyProtection="0">
      <alignment vertical="top"/>
      <protection locked="0"/>
    </xf>
    <xf numFmtId="174" fontId="39" fillId="0" borderId="0" applyFont="0" applyFill="0" applyBorder="0" applyAlignment="0" applyProtection="0"/>
    <xf numFmtId="0" fontId="40" fillId="0" borderId="0"/>
    <xf numFmtId="0" fontId="40" fillId="0" borderId="0"/>
    <xf numFmtId="0" fontId="7" fillId="0" borderId="0"/>
  </cellStyleXfs>
  <cellXfs count="262">
    <xf numFmtId="164" fontId="0" fillId="0" borderId="0" xfId="0"/>
    <xf numFmtId="164" fontId="2" fillId="0" borderId="0" xfId="0" applyFont="1"/>
    <xf numFmtId="165" fontId="2" fillId="0" borderId="0" xfId="0" applyNumberFormat="1" applyFont="1" applyProtection="1"/>
    <xf numFmtId="164" fontId="2" fillId="0" borderId="0" xfId="0" applyFont="1" applyProtection="1"/>
    <xf numFmtId="164" fontId="2" fillId="0" borderId="0" xfId="0" applyFont="1" applyAlignment="1" applyProtection="1">
      <alignment horizontal="center"/>
    </xf>
    <xf numFmtId="164" fontId="2" fillId="0" borderId="0" xfId="0" applyFont="1" applyBorder="1"/>
    <xf numFmtId="166" fontId="2" fillId="0" borderId="0" xfId="0" applyNumberFormat="1" applyFont="1" applyProtection="1"/>
    <xf numFmtId="168" fontId="2" fillId="0" borderId="0" xfId="0" applyNumberFormat="1" applyFont="1" applyProtection="1"/>
    <xf numFmtId="167" fontId="2" fillId="0" borderId="0" xfId="0" applyNumberFormat="1" applyFont="1"/>
    <xf numFmtId="168" fontId="2" fillId="0" borderId="0" xfId="0" applyNumberFormat="1" applyFont="1"/>
    <xf numFmtId="168" fontId="2" fillId="0" borderId="0" xfId="0" applyNumberFormat="1" applyFont="1" applyBorder="1" applyAlignment="1" applyProtection="1">
      <alignment horizontal="center"/>
    </xf>
    <xf numFmtId="165" fontId="2" fillId="0" borderId="0" xfId="0" applyNumberFormat="1" applyFont="1"/>
    <xf numFmtId="164" fontId="2" fillId="0" borderId="0" xfId="0" applyFont="1" applyAlignment="1"/>
    <xf numFmtId="168" fontId="2" fillId="0" borderId="0" xfId="0" applyNumberFormat="1" applyFont="1" applyBorder="1" applyAlignment="1">
      <alignment horizontal="center"/>
    </xf>
    <xf numFmtId="165" fontId="2" fillId="0" borderId="0" xfId="0" applyNumberFormat="1" applyFont="1" applyAlignment="1">
      <alignment horizontal="center"/>
    </xf>
    <xf numFmtId="164" fontId="2" fillId="0" borderId="0" xfId="0" applyFont="1" applyAlignment="1">
      <alignment horizontal="center"/>
    </xf>
    <xf numFmtId="168" fontId="3" fillId="0" borderId="0" xfId="0" applyNumberFormat="1" applyFont="1" applyProtection="1"/>
    <xf numFmtId="164" fontId="5" fillId="0" borderId="0" xfId="0" applyFont="1" applyFill="1" applyBorder="1" applyAlignment="1">
      <alignment horizontal="left" wrapText="1"/>
    </xf>
    <xf numFmtId="168" fontId="5" fillId="0" borderId="0" xfId="0" applyNumberFormat="1" applyFont="1" applyFill="1" applyBorder="1" applyAlignment="1">
      <alignment horizontal="left" wrapText="1"/>
    </xf>
    <xf numFmtId="167" fontId="5" fillId="0" borderId="0" xfId="0" applyNumberFormat="1" applyFont="1" applyFill="1" applyBorder="1" applyAlignment="1">
      <alignment horizontal="left" wrapText="1"/>
    </xf>
    <xf numFmtId="164" fontId="5" fillId="0" borderId="0" xfId="0" applyFont="1" applyFill="1" applyBorder="1" applyAlignment="1">
      <alignment horizontal="left" vertical="top" wrapText="1"/>
    </xf>
    <xf numFmtId="170" fontId="1" fillId="0" borderId="0" xfId="0" applyNumberFormat="1" applyFont="1" applyProtection="1"/>
    <xf numFmtId="169" fontId="6" fillId="0" borderId="0" xfId="0" applyNumberFormat="1" applyFont="1" applyAlignment="1" applyProtection="1">
      <alignment horizontal="left"/>
    </xf>
    <xf numFmtId="169" fontId="7" fillId="0" borderId="0" xfId="0" applyNumberFormat="1" applyFont="1"/>
    <xf numFmtId="169" fontId="7" fillId="0" borderId="0" xfId="0" applyNumberFormat="1" applyFont="1" applyAlignment="1" applyProtection="1">
      <alignment horizontal="right"/>
    </xf>
    <xf numFmtId="169" fontId="7" fillId="0" borderId="0" xfId="0" applyNumberFormat="1" applyFont="1" applyProtection="1"/>
    <xf numFmtId="169" fontId="8" fillId="2" borderId="2" xfId="0" applyNumberFormat="1" applyFont="1" applyFill="1" applyBorder="1" applyAlignment="1" applyProtection="1">
      <alignment horizontal="center"/>
    </xf>
    <xf numFmtId="169" fontId="8" fillId="2" borderId="2" xfId="0" applyNumberFormat="1" applyFont="1" applyFill="1" applyBorder="1"/>
    <xf numFmtId="169" fontId="8" fillId="2" borderId="0" xfId="0" applyNumberFormat="1" applyFont="1" applyFill="1" applyBorder="1" applyAlignment="1" applyProtection="1">
      <alignment horizontal="center"/>
    </xf>
    <xf numFmtId="169" fontId="9" fillId="2" borderId="1" xfId="0" applyNumberFormat="1" applyFont="1" applyFill="1" applyBorder="1"/>
    <xf numFmtId="169" fontId="10" fillId="2" borderId="1" xfId="0" applyNumberFormat="1" applyFont="1" applyFill="1" applyBorder="1" applyAlignment="1" applyProtection="1">
      <alignment horizontal="center"/>
    </xf>
    <xf numFmtId="169" fontId="8" fillId="2" borderId="1" xfId="0" applyNumberFormat="1" applyFont="1" applyFill="1" applyBorder="1" applyAlignment="1" applyProtection="1">
      <alignment horizontal="center"/>
    </xf>
    <xf numFmtId="169" fontId="7" fillId="2" borderId="0" xfId="0" applyNumberFormat="1" applyFont="1" applyFill="1" applyAlignment="1" applyProtection="1">
      <alignment horizontal="center"/>
    </xf>
    <xf numFmtId="169" fontId="7" fillId="2" borderId="0" xfId="0" applyNumberFormat="1" applyFont="1" applyFill="1" applyProtection="1"/>
    <xf numFmtId="164" fontId="7" fillId="2" borderId="0" xfId="0" applyNumberFormat="1" applyFont="1" applyFill="1" applyProtection="1"/>
    <xf numFmtId="167" fontId="7" fillId="2" borderId="0" xfId="0" applyNumberFormat="1" applyFont="1" applyFill="1" applyProtection="1"/>
    <xf numFmtId="168" fontId="7" fillId="2" borderId="0" xfId="0" applyNumberFormat="1" applyFont="1" applyFill="1" applyProtection="1"/>
    <xf numFmtId="169" fontId="7" fillId="2" borderId="1" xfId="0" applyNumberFormat="1" applyFont="1" applyFill="1" applyBorder="1" applyAlignment="1" applyProtection="1">
      <alignment horizontal="center"/>
    </xf>
    <xf numFmtId="169" fontId="7" fillId="2" borderId="1" xfId="0" applyNumberFormat="1" applyFont="1" applyFill="1" applyBorder="1" applyProtection="1"/>
    <xf numFmtId="164" fontId="7" fillId="2" borderId="1" xfId="0" applyNumberFormat="1" applyFont="1" applyFill="1" applyBorder="1" applyProtection="1"/>
    <xf numFmtId="167" fontId="7" fillId="2" borderId="1" xfId="0" applyNumberFormat="1" applyFont="1" applyFill="1" applyBorder="1" applyProtection="1"/>
    <xf numFmtId="168" fontId="7" fillId="2" borderId="1" xfId="0" applyNumberFormat="1" applyFont="1" applyFill="1" applyBorder="1" applyProtection="1"/>
    <xf numFmtId="169" fontId="12" fillId="0" borderId="0" xfId="0" applyNumberFormat="1" applyFont="1" applyFill="1"/>
    <xf numFmtId="169" fontId="7" fillId="0" borderId="0" xfId="0" quotePrefix="1" applyNumberFormat="1" applyFont="1" applyFill="1" applyAlignment="1" applyProtection="1">
      <alignment horizontal="right"/>
    </xf>
    <xf numFmtId="169" fontId="13" fillId="0" borderId="0" xfId="0" applyNumberFormat="1" applyFont="1" applyFill="1" applyAlignment="1" applyProtection="1">
      <alignment horizontal="center"/>
    </xf>
    <xf numFmtId="169" fontId="7" fillId="0" borderId="0" xfId="0" applyNumberFormat="1" applyFont="1" applyFill="1" applyAlignment="1" applyProtection="1">
      <alignment horizontal="right"/>
    </xf>
    <xf numFmtId="169" fontId="14" fillId="0" borderId="0" xfId="0" quotePrefix="1" applyNumberFormat="1" applyFont="1" applyFill="1" applyAlignment="1" applyProtection="1">
      <alignment horizontal="left"/>
    </xf>
    <xf numFmtId="169" fontId="7" fillId="0" borderId="0" xfId="0" quotePrefix="1" applyNumberFormat="1" applyFont="1" applyFill="1" applyAlignment="1" applyProtection="1">
      <alignment horizontal="left"/>
    </xf>
    <xf numFmtId="169" fontId="7" fillId="0" borderId="0" xfId="0" applyNumberFormat="1" applyFont="1" applyFill="1"/>
    <xf numFmtId="169" fontId="15" fillId="0" borderId="0" xfId="0" applyNumberFormat="1" applyFont="1" applyFill="1" applyBorder="1" applyAlignment="1" applyProtection="1">
      <alignment horizontal="center"/>
    </xf>
    <xf numFmtId="168" fontId="2" fillId="2" borderId="0" xfId="0" applyNumberFormat="1" applyFont="1" applyFill="1"/>
    <xf numFmtId="3" fontId="7" fillId="3" borderId="0" xfId="0" applyNumberFormat="1" applyFont="1" applyFill="1" applyAlignment="1" applyProtection="1">
      <alignment horizontal="right"/>
      <protection locked="0"/>
    </xf>
    <xf numFmtId="167" fontId="7" fillId="4" borderId="0" xfId="0" applyNumberFormat="1" applyFont="1" applyFill="1" applyBorder="1" applyAlignment="1" applyProtection="1">
      <alignment horizontal="right" vertical="center"/>
    </xf>
    <xf numFmtId="166" fontId="7" fillId="4" borderId="0" xfId="0" applyNumberFormat="1" applyFont="1" applyFill="1" applyBorder="1" applyAlignment="1" applyProtection="1">
      <alignment horizontal="right" vertical="center"/>
    </xf>
    <xf numFmtId="3" fontId="7" fillId="3" borderId="0" xfId="0" applyNumberFormat="1" applyFont="1" applyFill="1" applyProtection="1">
      <protection locked="0"/>
    </xf>
    <xf numFmtId="3" fontId="7" fillId="3" borderId="1" xfId="0" applyNumberFormat="1" applyFont="1" applyFill="1" applyBorder="1" applyAlignment="1" applyProtection="1">
      <alignment horizontal="right"/>
      <protection locked="0"/>
    </xf>
    <xf numFmtId="164" fontId="7" fillId="0" borderId="0" xfId="0" applyNumberFormat="1" applyFont="1" applyFill="1" applyBorder="1" applyAlignment="1" applyProtection="1">
      <alignment horizontal="right"/>
    </xf>
    <xf numFmtId="169" fontId="12" fillId="0" borderId="0" xfId="0" applyNumberFormat="1" applyFont="1"/>
    <xf numFmtId="164" fontId="7" fillId="0" borderId="0" xfId="0" applyNumberFormat="1" applyFont="1" applyFill="1" applyBorder="1" applyProtection="1"/>
    <xf numFmtId="169" fontId="16" fillId="0" borderId="0" xfId="0" applyNumberFormat="1" applyFont="1" applyAlignment="1" applyProtection="1">
      <alignment horizontal="left"/>
    </xf>
    <xf numFmtId="169" fontId="20" fillId="2" borderId="2" xfId="0" applyNumberFormat="1" applyFont="1" applyFill="1" applyBorder="1"/>
    <xf numFmtId="169" fontId="21" fillId="2" borderId="1" xfId="0" applyNumberFormat="1" applyFont="1" applyFill="1" applyBorder="1" applyAlignment="1" applyProtection="1">
      <alignment horizontal="center"/>
    </xf>
    <xf numFmtId="169" fontId="8" fillId="2" borderId="1" xfId="0" quotePrefix="1" applyNumberFormat="1" applyFont="1" applyFill="1" applyBorder="1" applyAlignment="1" applyProtection="1">
      <alignment horizontal="center"/>
    </xf>
    <xf numFmtId="169" fontId="24" fillId="2" borderId="1" xfId="0" applyNumberFormat="1" applyFont="1" applyFill="1" applyBorder="1" applyAlignment="1" applyProtection="1">
      <alignment horizontal="center"/>
    </xf>
    <xf numFmtId="164" fontId="8" fillId="2" borderId="1" xfId="0" applyNumberFormat="1" applyFont="1" applyFill="1" applyBorder="1" applyAlignment="1" applyProtection="1">
      <alignment horizontal="center"/>
    </xf>
    <xf numFmtId="164" fontId="7" fillId="0" borderId="0" xfId="0" applyNumberFormat="1" applyFont="1" applyFill="1" applyBorder="1" applyAlignment="1" applyProtection="1">
      <alignment horizontal="center"/>
    </xf>
    <xf numFmtId="169" fontId="10" fillId="2" borderId="0" xfId="0" applyNumberFormat="1" applyFont="1" applyFill="1" applyBorder="1" applyAlignment="1" applyProtection="1">
      <alignment horizontal="center"/>
    </xf>
    <xf numFmtId="169" fontId="7" fillId="2" borderId="0" xfId="0" quotePrefix="1" applyNumberFormat="1" applyFont="1" applyFill="1" applyAlignment="1" applyProtection="1">
      <alignment horizontal="center"/>
    </xf>
    <xf numFmtId="169" fontId="21" fillId="2" borderId="0" xfId="0" applyNumberFormat="1" applyFont="1" applyFill="1" applyBorder="1" applyAlignment="1" applyProtection="1">
      <alignment horizontal="center"/>
    </xf>
    <xf numFmtId="169" fontId="8" fillId="2" borderId="0" xfId="0" quotePrefix="1" applyNumberFormat="1" applyFont="1" applyFill="1" applyBorder="1" applyAlignment="1" applyProtection="1">
      <alignment horizontal="center"/>
    </xf>
    <xf numFmtId="169" fontId="24" fillId="2" borderId="0" xfId="0" applyNumberFormat="1" applyFont="1" applyFill="1" applyBorder="1" applyAlignment="1" applyProtection="1">
      <alignment horizontal="center"/>
    </xf>
    <xf numFmtId="164" fontId="8" fillId="2" borderId="0" xfId="0" applyNumberFormat="1" applyFont="1" applyFill="1" applyBorder="1" applyAlignment="1" applyProtection="1">
      <alignment horizontal="center"/>
    </xf>
    <xf numFmtId="169" fontId="9" fillId="2" borderId="0" xfId="0" applyNumberFormat="1" applyFont="1" applyFill="1" applyBorder="1"/>
    <xf numFmtId="169" fontId="20" fillId="2" borderId="1" xfId="0" applyNumberFormat="1" applyFont="1" applyFill="1" applyBorder="1"/>
    <xf numFmtId="167" fontId="7" fillId="5" borderId="0" xfId="0" applyNumberFormat="1" applyFont="1" applyFill="1" applyProtection="1"/>
    <xf numFmtId="166" fontId="15" fillId="5" borderId="0" xfId="0" applyNumberFormat="1" applyFont="1" applyFill="1" applyProtection="1"/>
    <xf numFmtId="168" fontId="15" fillId="0" borderId="0" xfId="0" applyNumberFormat="1" applyFont="1" applyFill="1" applyBorder="1" applyProtection="1"/>
    <xf numFmtId="168" fontId="7" fillId="2" borderId="0" xfId="0" applyNumberFormat="1" applyFont="1" applyFill="1" applyBorder="1" applyProtection="1"/>
    <xf numFmtId="3" fontId="7" fillId="3" borderId="1" xfId="0" applyNumberFormat="1" applyFont="1" applyFill="1" applyBorder="1" applyProtection="1">
      <protection locked="0"/>
    </xf>
    <xf numFmtId="167" fontId="7" fillId="5" borderId="1" xfId="0" applyNumberFormat="1" applyFont="1" applyFill="1" applyBorder="1" applyProtection="1"/>
    <xf numFmtId="166" fontId="15" fillId="5" borderId="1" xfId="0" applyNumberFormat="1" applyFont="1" applyFill="1" applyBorder="1" applyProtection="1"/>
    <xf numFmtId="169" fontId="7" fillId="0" borderId="0" xfId="0" quotePrefix="1" applyNumberFormat="1" applyFont="1" applyAlignment="1" applyProtection="1">
      <alignment horizontal="left"/>
    </xf>
    <xf numFmtId="168" fontId="7" fillId="0" borderId="0" xfId="0" applyNumberFormat="1" applyFont="1" applyProtection="1"/>
    <xf numFmtId="173" fontId="7" fillId="3" borderId="0" xfId="0" applyNumberFormat="1" applyFont="1" applyFill="1" applyProtection="1">
      <protection locked="0"/>
    </xf>
    <xf numFmtId="173" fontId="7" fillId="3" borderId="1" xfId="0" applyNumberFormat="1" applyFont="1" applyFill="1" applyBorder="1" applyProtection="1">
      <protection locked="0"/>
    </xf>
    <xf numFmtId="164" fontId="7" fillId="2" borderId="0" xfId="0" applyNumberFormat="1" applyFont="1" applyFill="1" applyBorder="1" applyProtection="1"/>
    <xf numFmtId="164" fontId="2" fillId="0" borderId="0" xfId="0" applyFont="1" applyBorder="1" applyAlignment="1" applyProtection="1">
      <alignment horizontal="center"/>
    </xf>
    <xf numFmtId="169" fontId="2" fillId="0" borderId="0" xfId="0" applyNumberFormat="1" applyFont="1" applyBorder="1" applyProtection="1"/>
    <xf numFmtId="166" fontId="7" fillId="3" borderId="0" xfId="0" applyNumberFormat="1" applyFont="1" applyFill="1" applyProtection="1">
      <protection locked="0"/>
    </xf>
    <xf numFmtId="164" fontId="2" fillId="2" borderId="0" xfId="0" applyFont="1" applyFill="1"/>
    <xf numFmtId="168" fontId="3" fillId="2" borderId="0" xfId="0" applyNumberFormat="1" applyFont="1" applyFill="1" applyProtection="1">
      <protection locked="0"/>
    </xf>
    <xf numFmtId="164" fontId="2" fillId="2" borderId="0" xfId="0" applyFont="1" applyFill="1" applyAlignment="1" applyProtection="1">
      <alignment horizontal="center"/>
    </xf>
    <xf numFmtId="164" fontId="2" fillId="2" borderId="0" xfId="0" applyNumberFormat="1" applyFont="1" applyFill="1" applyProtection="1"/>
    <xf numFmtId="164" fontId="2" fillId="2" borderId="1" xfId="0" applyFont="1" applyFill="1" applyBorder="1" applyAlignment="1" applyProtection="1">
      <alignment horizontal="center"/>
    </xf>
    <xf numFmtId="164" fontId="2" fillId="2" borderId="1" xfId="0" applyFont="1" applyFill="1" applyBorder="1"/>
    <xf numFmtId="168" fontId="2" fillId="2" borderId="1" xfId="0" applyNumberFormat="1" applyFont="1" applyFill="1" applyBorder="1"/>
    <xf numFmtId="169" fontId="7" fillId="2" borderId="0" xfId="0" applyNumberFormat="1" applyFont="1" applyFill="1" applyBorder="1" applyAlignment="1" applyProtection="1">
      <alignment horizontal="center"/>
    </xf>
    <xf numFmtId="169" fontId="7" fillId="2" borderId="0" xfId="0" applyNumberFormat="1" applyFont="1" applyFill="1" applyBorder="1" applyProtection="1"/>
    <xf numFmtId="167" fontId="7" fillId="2" borderId="0" xfId="0" applyNumberFormat="1" applyFont="1" applyFill="1" applyBorder="1" applyProtection="1"/>
    <xf numFmtId="168" fontId="3" fillId="2" borderId="0" xfId="0" applyNumberFormat="1" applyFont="1" applyFill="1" applyBorder="1" applyProtection="1">
      <protection locked="0"/>
    </xf>
    <xf numFmtId="164" fontId="2" fillId="2" borderId="0" xfId="0" applyFont="1" applyFill="1" applyBorder="1"/>
    <xf numFmtId="169" fontId="7" fillId="0" borderId="0" xfId="0" applyNumberFormat="1" applyFont="1" applyFill="1" applyBorder="1"/>
    <xf numFmtId="164" fontId="2" fillId="0" borderId="0" xfId="0" applyFont="1" applyFill="1" applyBorder="1"/>
    <xf numFmtId="164" fontId="2" fillId="0" borderId="0" xfId="0" applyFont="1" applyFill="1" applyBorder="1" applyAlignment="1" applyProtection="1">
      <alignment horizontal="center"/>
    </xf>
    <xf numFmtId="168" fontId="2" fillId="2" borderId="2" xfId="0" applyNumberFormat="1" applyFont="1" applyFill="1" applyBorder="1"/>
    <xf numFmtId="164" fontId="2" fillId="2" borderId="2" xfId="0" applyFont="1" applyFill="1" applyBorder="1"/>
    <xf numFmtId="169" fontId="8" fillId="0" borderId="0" xfId="0" applyNumberFormat="1" applyFont="1" applyFill="1" applyBorder="1" applyAlignment="1" applyProtection="1">
      <alignment horizontal="center"/>
    </xf>
    <xf numFmtId="164" fontId="2" fillId="2" borderId="0" xfId="0" applyFont="1" applyFill="1" applyBorder="1" applyAlignment="1" applyProtection="1">
      <alignment horizontal="center"/>
    </xf>
    <xf numFmtId="166" fontId="2" fillId="2" borderId="0" xfId="0" applyNumberFormat="1" applyFont="1" applyFill="1" applyBorder="1" applyProtection="1"/>
    <xf numFmtId="164" fontId="2" fillId="2" borderId="0" xfId="0" applyNumberFormat="1" applyFont="1" applyFill="1" applyBorder="1" applyProtection="1"/>
    <xf numFmtId="167" fontId="2" fillId="2" borderId="1" xfId="0" applyNumberFormat="1" applyFont="1" applyFill="1" applyBorder="1" applyProtection="1"/>
    <xf numFmtId="169" fontId="7" fillId="2" borderId="1" xfId="0" applyNumberFormat="1" applyFont="1" applyFill="1" applyBorder="1"/>
    <xf numFmtId="169" fontId="7" fillId="0" borderId="0" xfId="0" applyNumberFormat="1" applyFont="1" applyFill="1" applyAlignment="1">
      <alignment horizontal="right"/>
    </xf>
    <xf numFmtId="168" fontId="3" fillId="2" borderId="2" xfId="0" applyNumberFormat="1" applyFont="1" applyFill="1" applyBorder="1" applyProtection="1">
      <protection locked="0"/>
    </xf>
    <xf numFmtId="164" fontId="2" fillId="2" borderId="0" xfId="0" applyNumberFormat="1" applyFont="1" applyFill="1" applyBorder="1"/>
    <xf numFmtId="171" fontId="1" fillId="2" borderId="1" xfId="0" applyNumberFormat="1" applyFont="1" applyFill="1" applyBorder="1" applyProtection="1"/>
    <xf numFmtId="170" fontId="1" fillId="2" borderId="1" xfId="0" applyNumberFormat="1" applyFont="1" applyFill="1" applyBorder="1" applyProtection="1"/>
    <xf numFmtId="169" fontId="7" fillId="0" borderId="0" xfId="0" applyNumberFormat="1" applyFont="1" applyAlignment="1">
      <alignment horizontal="right"/>
    </xf>
    <xf numFmtId="169" fontId="0" fillId="0" borderId="0" xfId="0" applyNumberFormat="1"/>
    <xf numFmtId="169" fontId="26" fillId="2" borderId="1" xfId="0" quotePrefix="1" applyNumberFormat="1" applyFont="1" applyFill="1" applyBorder="1" applyAlignment="1" applyProtection="1">
      <alignment horizontal="center"/>
    </xf>
    <xf numFmtId="169" fontId="0" fillId="2" borderId="1" xfId="0" applyNumberFormat="1" applyFill="1" applyBorder="1"/>
    <xf numFmtId="169" fontId="7" fillId="2" borderId="1" xfId="0" quotePrefix="1" applyNumberFormat="1" applyFont="1" applyFill="1" applyBorder="1" applyAlignment="1" applyProtection="1">
      <alignment horizontal="center"/>
    </xf>
    <xf numFmtId="169" fontId="0" fillId="0" borderId="0" xfId="0" applyNumberFormat="1" applyFill="1"/>
    <xf numFmtId="169" fontId="27" fillId="0" borderId="0" xfId="0" applyNumberFormat="1" applyFont="1" applyFill="1" applyBorder="1" applyAlignment="1" applyProtection="1">
      <alignment horizontal="right"/>
    </xf>
    <xf numFmtId="169" fontId="7" fillId="0" borderId="0" xfId="0" quotePrefix="1" applyNumberFormat="1" applyFont="1" applyFill="1" applyBorder="1" applyAlignment="1" applyProtection="1">
      <alignment horizontal="left"/>
    </xf>
    <xf numFmtId="169" fontId="0" fillId="0" borderId="0" xfId="0" applyNumberFormat="1" applyFill="1" applyBorder="1"/>
    <xf numFmtId="169" fontId="28" fillId="0" borderId="0" xfId="0" applyNumberFormat="1" applyFont="1" applyAlignment="1">
      <alignment horizontal="right"/>
    </xf>
    <xf numFmtId="164" fontId="7" fillId="2" borderId="0" xfId="3" applyNumberFormat="1" applyFont="1" applyFill="1" applyProtection="1"/>
    <xf numFmtId="169" fontId="4" fillId="0" borderId="0" xfId="0" applyNumberFormat="1" applyFont="1"/>
    <xf numFmtId="169" fontId="7" fillId="2" borderId="1" xfId="0" applyNumberFormat="1" applyFont="1" applyFill="1" applyBorder="1" applyAlignment="1" applyProtection="1">
      <alignment horizontal="right"/>
    </xf>
    <xf numFmtId="169" fontId="13" fillId="2" borderId="1" xfId="0" applyNumberFormat="1" applyFont="1" applyFill="1" applyBorder="1" applyAlignment="1" applyProtection="1">
      <alignment horizontal="center"/>
    </xf>
    <xf numFmtId="169" fontId="14" fillId="2" borderId="1" xfId="0" quotePrefix="1" applyNumberFormat="1" applyFont="1" applyFill="1" applyBorder="1" applyAlignment="1" applyProtection="1">
      <alignment horizontal="left"/>
    </xf>
    <xf numFmtId="169" fontId="7" fillId="2" borderId="1" xfId="0" quotePrefix="1" applyNumberFormat="1" applyFont="1" applyFill="1" applyBorder="1" applyAlignment="1" applyProtection="1">
      <alignment horizontal="left"/>
    </xf>
    <xf numFmtId="164" fontId="7" fillId="2" borderId="0" xfId="3" applyNumberFormat="1" applyFont="1" applyFill="1" applyBorder="1" applyProtection="1"/>
    <xf numFmtId="172" fontId="7" fillId="2" borderId="1" xfId="0" applyNumberFormat="1" applyFont="1" applyFill="1" applyBorder="1" applyProtection="1"/>
    <xf numFmtId="169" fontId="26" fillId="2" borderId="0" xfId="0" quotePrefix="1" applyNumberFormat="1" applyFont="1" applyFill="1" applyBorder="1" applyAlignment="1" applyProtection="1">
      <alignment horizontal="center"/>
    </xf>
    <xf numFmtId="169" fontId="0" fillId="2" borderId="0" xfId="0" applyNumberFormat="1" applyFill="1" applyBorder="1"/>
    <xf numFmtId="166" fontId="7" fillId="2" borderId="0" xfId="0" applyNumberFormat="1" applyFont="1" applyFill="1" applyBorder="1" applyProtection="1"/>
    <xf numFmtId="164" fontId="7" fillId="0" borderId="0" xfId="0" applyFont="1" applyAlignment="1" applyProtection="1">
      <alignment horizontal="center"/>
    </xf>
    <xf numFmtId="2" fontId="7" fillId="0" borderId="0" xfId="0" applyNumberFormat="1" applyFont="1" applyProtection="1"/>
    <xf numFmtId="164" fontId="7" fillId="2" borderId="0" xfId="0" applyFont="1" applyFill="1" applyAlignment="1" applyProtection="1">
      <alignment horizontal="center"/>
    </xf>
    <xf numFmtId="164" fontId="7" fillId="2" borderId="0" xfId="0" applyFont="1" applyFill="1" applyBorder="1"/>
    <xf numFmtId="164" fontId="7" fillId="0" borderId="0" xfId="0" applyFont="1"/>
    <xf numFmtId="168" fontId="7" fillId="0" borderId="0" xfId="0" applyNumberFormat="1" applyFont="1"/>
    <xf numFmtId="164" fontId="7" fillId="2" borderId="0" xfId="0" applyFont="1" applyFill="1" applyProtection="1"/>
    <xf numFmtId="172" fontId="7" fillId="2" borderId="0" xfId="0" applyNumberFormat="1" applyFont="1" applyFill="1" applyProtection="1"/>
    <xf numFmtId="164" fontId="7" fillId="2" borderId="1" xfId="0" applyFont="1" applyFill="1" applyBorder="1" applyAlignment="1" applyProtection="1">
      <alignment horizontal="center"/>
    </xf>
    <xf numFmtId="164" fontId="7" fillId="2" borderId="1" xfId="0" applyFont="1" applyFill="1" applyBorder="1" applyProtection="1"/>
    <xf numFmtId="164" fontId="7" fillId="0" borderId="0" xfId="0" applyFont="1" applyFill="1" applyBorder="1"/>
    <xf numFmtId="168" fontId="7" fillId="2" borderId="2" xfId="0" applyNumberFormat="1" applyFont="1" applyFill="1" applyBorder="1"/>
    <xf numFmtId="168" fontId="30" fillId="2" borderId="0" xfId="0" applyNumberFormat="1" applyFont="1" applyFill="1" applyBorder="1" applyProtection="1">
      <protection locked="0"/>
    </xf>
    <xf numFmtId="168" fontId="30" fillId="2" borderId="2" xfId="0" applyNumberFormat="1" applyFont="1" applyFill="1" applyBorder="1" applyProtection="1">
      <protection locked="0"/>
    </xf>
    <xf numFmtId="164" fontId="7" fillId="2" borderId="2" xfId="0" applyFont="1" applyFill="1" applyBorder="1"/>
    <xf numFmtId="164" fontId="7" fillId="2" borderId="0" xfId="0" applyFont="1" applyFill="1"/>
    <xf numFmtId="164" fontId="7" fillId="2" borderId="0" xfId="0" applyFont="1" applyFill="1" applyBorder="1" applyAlignment="1" applyProtection="1">
      <alignment horizontal="center"/>
    </xf>
    <xf numFmtId="164" fontId="7" fillId="2" borderId="0" xfId="0" applyNumberFormat="1" applyFont="1" applyFill="1" applyBorder="1"/>
    <xf numFmtId="169" fontId="25" fillId="2" borderId="1" xfId="0" applyNumberFormat="1" applyFont="1" applyFill="1" applyBorder="1"/>
    <xf numFmtId="168" fontId="25" fillId="0" borderId="0" xfId="0" applyNumberFormat="1" applyFont="1"/>
    <xf numFmtId="168" fontId="25" fillId="2" borderId="1" xfId="0" applyNumberFormat="1" applyFont="1" applyFill="1" applyBorder="1"/>
    <xf numFmtId="168" fontId="25" fillId="2" borderId="2" xfId="0" applyNumberFormat="1" applyFont="1" applyFill="1" applyBorder="1"/>
    <xf numFmtId="0" fontId="7" fillId="0" borderId="0" xfId="0" applyNumberFormat="1" applyFont="1" applyAlignment="1">
      <alignment horizontal="right"/>
    </xf>
    <xf numFmtId="167" fontId="7" fillId="3" borderId="0" xfId="0" applyNumberFormat="1" applyFont="1" applyFill="1" applyAlignment="1" applyProtection="1">
      <alignment horizontal="right"/>
      <protection locked="0"/>
    </xf>
    <xf numFmtId="169" fontId="8" fillId="2" borderId="2" xfId="0" applyNumberFormat="1" applyFont="1" applyFill="1" applyBorder="1" applyAlignment="1">
      <alignment horizontal="center"/>
    </xf>
    <xf numFmtId="169" fontId="8" fillId="2" borderId="0" xfId="0" applyNumberFormat="1" applyFont="1" applyFill="1" applyBorder="1" applyAlignment="1">
      <alignment horizontal="center"/>
    </xf>
    <xf numFmtId="165" fontId="7" fillId="2" borderId="0" xfId="0" applyNumberFormat="1" applyFont="1" applyFill="1" applyAlignment="1" applyProtection="1">
      <alignment horizontal="center"/>
    </xf>
    <xf numFmtId="165" fontId="7" fillId="2" borderId="1" xfId="0" applyNumberFormat="1" applyFont="1" applyFill="1" applyBorder="1" applyAlignment="1" applyProtection="1">
      <alignment horizontal="center"/>
    </xf>
    <xf numFmtId="164" fontId="7" fillId="2" borderId="2" xfId="0" applyNumberFormat="1" applyFont="1" applyFill="1" applyBorder="1" applyProtection="1"/>
    <xf numFmtId="167" fontId="7" fillId="5" borderId="0" xfId="0" applyNumberFormat="1" applyFont="1" applyFill="1" applyBorder="1" applyProtection="1"/>
    <xf numFmtId="14" fontId="7" fillId="0" borderId="0" xfId="0" applyNumberFormat="1" applyFont="1" applyProtection="1"/>
    <xf numFmtId="3" fontId="7" fillId="3" borderId="0" xfId="0" applyNumberFormat="1" applyFont="1" applyFill="1" applyBorder="1" applyProtection="1">
      <protection locked="0"/>
    </xf>
    <xf numFmtId="3" fontId="7" fillId="3" borderId="0" xfId="0" applyNumberFormat="1" applyFont="1" applyFill="1" applyBorder="1" applyAlignment="1" applyProtection="1">
      <alignment horizontal="right"/>
      <protection locked="0"/>
    </xf>
    <xf numFmtId="169" fontId="34" fillId="0" borderId="0" xfId="5" applyFont="1"/>
    <xf numFmtId="169" fontId="12" fillId="0" borderId="0" xfId="5" applyFont="1"/>
    <xf numFmtId="0" fontId="6" fillId="0" borderId="0" xfId="4" applyFont="1" applyFill="1" applyAlignment="1">
      <alignment horizontal="center"/>
    </xf>
    <xf numFmtId="169" fontId="12" fillId="0" borderId="0" xfId="5" applyFont="1" applyFill="1"/>
    <xf numFmtId="0" fontId="12" fillId="0" borderId="0" xfId="4" applyFont="1" applyFill="1" applyAlignment="1">
      <alignment horizontal="left"/>
    </xf>
    <xf numFmtId="169" fontId="36" fillId="0" borderId="0" xfId="6" applyNumberFormat="1" applyFont="1" applyFill="1" applyAlignment="1" applyProtection="1"/>
    <xf numFmtId="0" fontId="36" fillId="0" borderId="0" xfId="6" applyFont="1" applyFill="1" applyAlignment="1" applyProtection="1">
      <alignment horizontal="left"/>
    </xf>
    <xf numFmtId="169" fontId="12" fillId="0" borderId="0" xfId="5" applyFont="1" applyAlignment="1">
      <alignment wrapText="1"/>
    </xf>
    <xf numFmtId="169" fontId="6" fillId="0" borderId="0" xfId="5" applyFont="1"/>
    <xf numFmtId="169" fontId="12" fillId="0" borderId="5" xfId="5" applyFont="1" applyFill="1" applyBorder="1"/>
    <xf numFmtId="169" fontId="12" fillId="3" borderId="6" xfId="5" applyFont="1" applyFill="1" applyBorder="1" applyProtection="1">
      <protection locked="0"/>
    </xf>
    <xf numFmtId="169" fontId="12" fillId="0" borderId="7" xfId="5" applyFont="1" applyFill="1" applyBorder="1"/>
    <xf numFmtId="169" fontId="12" fillId="3" borderId="8" xfId="5" applyFont="1" applyFill="1" applyBorder="1" applyProtection="1">
      <protection locked="0"/>
    </xf>
    <xf numFmtId="169" fontId="37" fillId="3" borderId="8" xfId="5" applyFont="1" applyFill="1" applyBorder="1" applyProtection="1">
      <protection locked="0"/>
    </xf>
    <xf numFmtId="169" fontId="12" fillId="0" borderId="9" xfId="5" applyFont="1" applyFill="1" applyBorder="1" applyAlignment="1">
      <alignment wrapText="1"/>
    </xf>
    <xf numFmtId="14" fontId="12" fillId="3" borderId="10" xfId="5" applyNumberFormat="1" applyFont="1" applyFill="1" applyBorder="1" applyAlignment="1" applyProtection="1">
      <alignment horizontal="left"/>
      <protection locked="0"/>
    </xf>
    <xf numFmtId="14" fontId="12" fillId="0" borderId="0" xfId="5" applyNumberFormat="1" applyFont="1"/>
    <xf numFmtId="14" fontId="12" fillId="0" borderId="0" xfId="5" applyNumberFormat="1" applyFont="1" applyAlignment="1">
      <alignment wrapText="1"/>
    </xf>
    <xf numFmtId="169" fontId="38" fillId="0" borderId="0" xfId="5" applyFont="1"/>
    <xf numFmtId="169" fontId="12" fillId="0" borderId="0" xfId="5" applyFont="1" applyBorder="1"/>
    <xf numFmtId="169" fontId="12" fillId="0" borderId="0" xfId="5" applyFont="1" applyBorder="1" applyProtection="1">
      <protection hidden="1"/>
    </xf>
    <xf numFmtId="169" fontId="12" fillId="0" borderId="0" xfId="5" applyFont="1" applyProtection="1">
      <protection hidden="1"/>
    </xf>
    <xf numFmtId="169" fontId="28" fillId="0" borderId="0" xfId="5" applyFont="1" applyBorder="1"/>
    <xf numFmtId="171" fontId="33" fillId="0" borderId="0" xfId="5" applyNumberFormat="1" applyBorder="1" applyProtection="1">
      <protection hidden="1"/>
    </xf>
    <xf numFmtId="171" fontId="12" fillId="0" borderId="0" xfId="5" applyNumberFormat="1" applyFont="1" applyBorder="1"/>
    <xf numFmtId="171" fontId="33" fillId="0" borderId="0" xfId="5" applyNumberFormat="1" applyBorder="1"/>
    <xf numFmtId="14" fontId="7" fillId="0" borderId="0" xfId="0" applyNumberFormat="1" applyFont="1" applyFill="1" applyProtection="1">
      <protection locked="0"/>
    </xf>
    <xf numFmtId="167" fontId="7" fillId="4" borderId="0" xfId="1" applyNumberFormat="1" applyFont="1" applyFill="1" applyBorder="1" applyProtection="1"/>
    <xf numFmtId="169" fontId="7" fillId="6" borderId="0" xfId="0" applyNumberFormat="1" applyFont="1" applyFill="1" applyAlignment="1" applyProtection="1">
      <alignment horizontal="center"/>
    </xf>
    <xf numFmtId="164" fontId="7" fillId="6" borderId="0" xfId="3" applyNumberFormat="1" applyFont="1" applyFill="1" applyProtection="1"/>
    <xf numFmtId="169" fontId="12" fillId="0" borderId="0" xfId="0" applyNumberFormat="1" applyFont="1" applyProtection="1"/>
    <xf numFmtId="169" fontId="8" fillId="2" borderId="2" xfId="0" applyNumberFormat="1" applyFont="1" applyFill="1" applyBorder="1" applyProtection="1"/>
    <xf numFmtId="169" fontId="8" fillId="2" borderId="0" xfId="0" applyNumberFormat="1" applyFont="1" applyFill="1" applyBorder="1" applyProtection="1"/>
    <xf numFmtId="3" fontId="7" fillId="2" borderId="0" xfId="0" applyNumberFormat="1" applyFont="1" applyFill="1" applyProtection="1"/>
    <xf numFmtId="3" fontId="7" fillId="2" borderId="1" xfId="0" applyNumberFormat="1" applyFont="1" applyFill="1" applyBorder="1" applyProtection="1"/>
    <xf numFmtId="169" fontId="7" fillId="0" borderId="0" xfId="0" applyNumberFormat="1" applyFont="1" applyAlignment="1" applyProtection="1">
      <alignment horizontal="center"/>
    </xf>
    <xf numFmtId="169" fontId="7" fillId="0" borderId="0" xfId="0" applyNumberFormat="1" applyFont="1" applyFill="1" applyProtection="1"/>
    <xf numFmtId="169" fontId="42" fillId="4" borderId="3" xfId="0" applyNumberFormat="1" applyFont="1" applyFill="1" applyBorder="1" applyAlignment="1" applyProtection="1">
      <alignment horizontal="right" vertical="center"/>
    </xf>
    <xf numFmtId="2" fontId="7" fillId="4" borderId="4" xfId="1" applyNumberFormat="1" applyFont="1" applyFill="1" applyBorder="1" applyProtection="1"/>
    <xf numFmtId="169" fontId="0" fillId="0" borderId="0" xfId="0" applyNumberFormat="1" applyProtection="1"/>
    <xf numFmtId="169" fontId="43" fillId="0" borderId="0" xfId="0" applyNumberFormat="1" applyFont="1" applyAlignment="1" applyProtection="1">
      <alignment horizontal="right" vertical="center"/>
    </xf>
    <xf numFmtId="2" fontId="7" fillId="2" borderId="0" xfId="1" applyNumberFormat="1" applyFont="1" applyFill="1" applyProtection="1"/>
    <xf numFmtId="169" fontId="28" fillId="0" borderId="0" xfId="0" applyNumberFormat="1" applyFont="1" applyAlignment="1" applyProtection="1">
      <alignment horizontal="right"/>
    </xf>
    <xf numFmtId="169" fontId="45" fillId="0" borderId="0" xfId="0" applyNumberFormat="1" applyFont="1" applyProtection="1"/>
    <xf numFmtId="169" fontId="46" fillId="4" borderId="3" xfId="0" applyNumberFormat="1" applyFont="1" applyFill="1" applyBorder="1" applyAlignment="1" applyProtection="1">
      <alignment horizontal="right" vertical="center"/>
    </xf>
    <xf numFmtId="43" fontId="7" fillId="0" borderId="0" xfId="1" applyFont="1" applyFill="1" applyProtection="1"/>
    <xf numFmtId="164" fontId="7" fillId="2" borderId="0" xfId="2" applyFont="1" applyFill="1" applyProtection="1"/>
    <xf numFmtId="3" fontId="7" fillId="2" borderId="1" xfId="0" applyNumberFormat="1" applyFont="1" applyFill="1" applyBorder="1" applyAlignment="1" applyProtection="1">
      <alignment horizontal="right"/>
    </xf>
    <xf numFmtId="2" fontId="7" fillId="2" borderId="1" xfId="2" applyNumberFormat="1" applyFont="1" applyFill="1" applyBorder="1" applyProtection="1"/>
    <xf numFmtId="2" fontId="7" fillId="0" borderId="0" xfId="1" applyNumberFormat="1" applyFont="1" applyFill="1" applyProtection="1">
      <protection locked="0"/>
    </xf>
    <xf numFmtId="0" fontId="6" fillId="5" borderId="11" xfId="4" applyFont="1" applyFill="1" applyBorder="1" applyAlignment="1">
      <alignment horizontal="center" wrapText="1"/>
    </xf>
    <xf numFmtId="0" fontId="6" fillId="5" borderId="12" xfId="4" applyFont="1" applyFill="1" applyBorder="1" applyAlignment="1">
      <alignment horizontal="center" wrapText="1"/>
    </xf>
    <xf numFmtId="169" fontId="12" fillId="0" borderId="0" xfId="5" applyFont="1" applyAlignment="1">
      <alignment vertical="top"/>
    </xf>
    <xf numFmtId="169" fontId="12" fillId="0" borderId="0" xfId="5" applyFont="1" applyFill="1" applyAlignment="1">
      <alignment vertical="top"/>
    </xf>
    <xf numFmtId="169" fontId="12" fillId="0" borderId="0" xfId="5" applyFont="1" applyAlignment="1">
      <alignment vertical="top" wrapText="1"/>
    </xf>
    <xf numFmtId="169" fontId="37" fillId="0" borderId="0" xfId="5" applyFont="1" applyAlignment="1">
      <alignment vertical="top"/>
    </xf>
    <xf numFmtId="3" fontId="7" fillId="2" borderId="0" xfId="0" applyNumberFormat="1" applyFont="1" applyFill="1" applyBorder="1" applyProtection="1"/>
    <xf numFmtId="173" fontId="7" fillId="2" borderId="1" xfId="0" applyNumberFormat="1" applyFont="1" applyFill="1" applyBorder="1" applyProtection="1">
      <protection locked="0"/>
    </xf>
    <xf numFmtId="166" fontId="7" fillId="3" borderId="1" xfId="0" applyNumberFormat="1" applyFont="1" applyFill="1" applyBorder="1" applyProtection="1">
      <protection locked="0"/>
    </xf>
    <xf numFmtId="164" fontId="1" fillId="2" borderId="1" xfId="0" applyFont="1" applyFill="1" applyBorder="1" applyAlignment="1" applyProtection="1">
      <alignment horizontal="center"/>
    </xf>
    <xf numFmtId="166" fontId="7" fillId="2" borderId="0" xfId="0" applyNumberFormat="1" applyFont="1" applyFill="1" applyProtection="1"/>
    <xf numFmtId="166" fontId="7" fillId="2" borderId="1" xfId="0" applyNumberFormat="1" applyFont="1" applyFill="1" applyBorder="1" applyProtection="1"/>
    <xf numFmtId="169" fontId="0" fillId="2" borderId="0" xfId="0" applyNumberFormat="1" applyFill="1"/>
    <xf numFmtId="169" fontId="28" fillId="2" borderId="13" xfId="5" applyFont="1" applyFill="1" applyBorder="1" applyAlignment="1" applyProtection="1">
      <alignment horizontal="center"/>
      <protection hidden="1"/>
    </xf>
    <xf numFmtId="169" fontId="28" fillId="2" borderId="13" xfId="5" applyFont="1" applyFill="1" applyBorder="1" applyAlignment="1" applyProtection="1">
      <protection hidden="1"/>
    </xf>
    <xf numFmtId="165" fontId="7" fillId="2" borderId="0" xfId="5" applyNumberFormat="1" applyFont="1" applyFill="1" applyBorder="1" applyAlignment="1" applyProtection="1">
      <alignment horizontal="center"/>
      <protection hidden="1"/>
    </xf>
    <xf numFmtId="164" fontId="7" fillId="2" borderId="0" xfId="5" applyNumberFormat="1" applyFont="1" applyFill="1" applyBorder="1" applyProtection="1">
      <protection hidden="1"/>
    </xf>
    <xf numFmtId="165" fontId="7" fillId="2" borderId="1" xfId="5" applyNumberFormat="1" applyFont="1" applyFill="1" applyBorder="1" applyAlignment="1" applyProtection="1">
      <alignment horizontal="center"/>
      <protection hidden="1"/>
    </xf>
    <xf numFmtId="164" fontId="7" fillId="2" borderId="1" xfId="5" applyNumberFormat="1" applyFont="1" applyFill="1" applyBorder="1" applyProtection="1">
      <protection hidden="1"/>
    </xf>
    <xf numFmtId="169" fontId="17" fillId="2" borderId="0" xfId="0" applyNumberFormat="1" applyFont="1" applyFill="1" applyBorder="1" applyAlignment="1" applyProtection="1">
      <alignment horizontal="center"/>
    </xf>
    <xf numFmtId="164" fontId="8" fillId="2" borderId="0" xfId="0" applyNumberFormat="1" applyFont="1" applyFill="1" applyBorder="1" applyProtection="1"/>
    <xf numFmtId="169" fontId="7" fillId="2" borderId="2" xfId="0" applyNumberFormat="1" applyFont="1" applyFill="1" applyBorder="1"/>
    <xf numFmtId="169" fontId="0" fillId="2" borderId="2" xfId="0" applyNumberFormat="1" applyFill="1" applyBorder="1"/>
    <xf numFmtId="166" fontId="7" fillId="2" borderId="0" xfId="0" applyNumberFormat="1" applyFont="1" applyFill="1" applyBorder="1"/>
    <xf numFmtId="166" fontId="7" fillId="2" borderId="1" xfId="0" applyNumberFormat="1" applyFont="1" applyFill="1" applyBorder="1"/>
    <xf numFmtId="169" fontId="7" fillId="2" borderId="0" xfId="0" quotePrefix="1" applyNumberFormat="1" applyFont="1" applyFill="1" applyBorder="1" applyAlignment="1">
      <alignment horizontal="center"/>
    </xf>
    <xf numFmtId="169" fontId="7" fillId="2" borderId="1" xfId="0" applyNumberFormat="1" applyFont="1" applyFill="1" applyBorder="1" applyAlignment="1">
      <alignment horizontal="center"/>
    </xf>
    <xf numFmtId="172" fontId="7" fillId="6" borderId="0" xfId="3" applyNumberFormat="1" applyFont="1" applyFill="1" applyProtection="1"/>
    <xf numFmtId="172" fontId="7" fillId="2" borderId="0" xfId="3" applyNumberFormat="1" applyFont="1" applyFill="1" applyProtection="1"/>
    <xf numFmtId="172" fontId="7" fillId="2" borderId="0" xfId="3" applyNumberFormat="1" applyFont="1" applyFill="1" applyBorder="1" applyProtection="1"/>
    <xf numFmtId="1" fontId="7" fillId="2" borderId="0" xfId="0" applyNumberFormat="1" applyFont="1" applyFill="1" applyAlignment="1" applyProtection="1">
      <alignment horizontal="center"/>
    </xf>
    <xf numFmtId="169" fontId="6" fillId="0" borderId="3" xfId="5" applyFont="1" applyBorder="1" applyAlignment="1">
      <alignment horizontal="center"/>
    </xf>
    <xf numFmtId="169" fontId="6" fillId="0" borderId="4" xfId="5" applyFont="1" applyBorder="1" applyAlignment="1">
      <alignment horizontal="center"/>
    </xf>
    <xf numFmtId="169" fontId="8" fillId="2" borderId="2" xfId="0" applyNumberFormat="1" applyFont="1" applyFill="1" applyBorder="1" applyAlignment="1" applyProtection="1">
      <alignment horizontal="center" wrapText="1"/>
    </xf>
    <xf numFmtId="164" fontId="0" fillId="0" borderId="0" xfId="0" applyAlignment="1">
      <alignment wrapText="1"/>
    </xf>
    <xf numFmtId="164" fontId="0" fillId="0" borderId="1" xfId="0" applyBorder="1" applyAlignment="1">
      <alignment wrapText="1"/>
    </xf>
    <xf numFmtId="0" fontId="8" fillId="2" borderId="2" xfId="0" applyNumberFormat="1" applyFont="1" applyFill="1" applyBorder="1" applyAlignment="1" applyProtection="1">
      <alignment horizontal="center" wrapText="1"/>
    </xf>
    <xf numFmtId="0" fontId="0" fillId="0" borderId="1" xfId="0" applyNumberFormat="1" applyBorder="1" applyAlignment="1" applyProtection="1">
      <alignment horizontal="center" wrapText="1"/>
    </xf>
    <xf numFmtId="169" fontId="0" fillId="0" borderId="1" xfId="0" applyNumberFormat="1" applyBorder="1" applyAlignment="1" applyProtection="1">
      <alignment wrapText="1"/>
    </xf>
    <xf numFmtId="169" fontId="0" fillId="0" borderId="1" xfId="0" applyNumberFormat="1" applyBorder="1" applyAlignment="1" applyProtection="1">
      <alignment horizontal="center" wrapText="1"/>
    </xf>
    <xf numFmtId="169" fontId="16" fillId="0" borderId="0" xfId="0" quotePrefix="1" applyNumberFormat="1" applyFont="1" applyAlignment="1" applyProtection="1">
      <alignment horizontal="left"/>
    </xf>
  </cellXfs>
  <cellStyles count="11">
    <cellStyle name="Comma" xfId="1" builtinId="3"/>
    <cellStyle name="Comma 3" xfId="7"/>
    <cellStyle name="Hyperlink" xfId="6" builtinId="8"/>
    <cellStyle name="Normal" xfId="0" builtinId="0"/>
    <cellStyle name="Normal 2" xfId="3"/>
    <cellStyle name="Normal 2 2" xfId="8"/>
    <cellStyle name="Normal 2 3" xfId="9"/>
    <cellStyle name="Normal 3" xfId="5"/>
    <cellStyle name="Normal 3 2" xfId="4"/>
    <cellStyle name="Normal 3 3" xfId="10"/>
    <cellStyle name="Normal 4"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37C0"/>
      <color rgb="FFFFFFFF"/>
      <color rgb="FFD7E6E6"/>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7.4601400180668478E-2"/>
          <c:y val="5.1219078857455254E-2"/>
          <c:w val="0.89174488790342465"/>
          <c:h val="0.73499154628143404"/>
        </c:manualLayout>
      </c:layout>
      <c:scatterChart>
        <c:scatterStyle val="lineMarker"/>
        <c:ser>
          <c:idx val="2"/>
          <c:order val="0"/>
          <c:tx>
            <c:strRef>
              <c:f>'Paternal orphanhood'!$G$1</c:f>
              <c:strCache>
                <c:ptCount val="1"/>
                <c:pt idx="0">
                  <c:v>Men, lifetime</c:v>
                </c:pt>
              </c:strCache>
            </c:strRef>
          </c:tx>
          <c:spPr>
            <a:ln>
              <a:solidFill>
                <a:srgbClr val="0070C0"/>
              </a:solidFill>
              <a:prstDash val="solid"/>
            </a:ln>
          </c:spPr>
          <c:marker>
            <c:symbol val="none"/>
          </c:marker>
          <c:xVal>
            <c:numRef>
              <c:f>'Paternal orphanhood'!$J$8:$J$12</c:f>
              <c:numCache>
                <c:formatCode>0.0_)</c:formatCode>
                <c:ptCount val="5"/>
                <c:pt idx="0">
                  <c:v>1979.6404520219255</c:v>
                </c:pt>
                <c:pt idx="1">
                  <c:v>1977.7693202766941</c:v>
                </c:pt>
                <c:pt idx="2">
                  <c:v>1976.2057436382229</c:v>
                </c:pt>
                <c:pt idx="3">
                  <c:v>1974.9854349219074</c:v>
                </c:pt>
                <c:pt idx="4">
                  <c:v>1974.9183173422393</c:v>
                </c:pt>
              </c:numCache>
            </c:numRef>
          </c:xVal>
          <c:yVal>
            <c:numRef>
              <c:f>'Paternal orphanhood'!$I$8:$I$12</c:f>
              <c:numCache>
                <c:formatCode>0.000_)</c:formatCode>
                <c:ptCount val="5"/>
                <c:pt idx="0">
                  <c:v>0.2953947434311025</c:v>
                </c:pt>
                <c:pt idx="1">
                  <c:v>0.3083988545439611</c:v>
                </c:pt>
                <c:pt idx="2">
                  <c:v>0.29713590491107134</c:v>
                </c:pt>
                <c:pt idx="3">
                  <c:v>0.31579660222175099</c:v>
                </c:pt>
                <c:pt idx="4">
                  <c:v>0.34410536356992161</c:v>
                </c:pt>
              </c:numCache>
            </c:numRef>
          </c:yVal>
        </c:ser>
        <c:ser>
          <c:idx val="0"/>
          <c:order val="1"/>
          <c:tx>
            <c:strRef>
              <c:f>'Paternal orphanhood'!$F$15</c:f>
              <c:strCache>
                <c:ptCount val="1"/>
                <c:pt idx="0">
                  <c:v>Men since marriage</c:v>
                </c:pt>
              </c:strCache>
            </c:strRef>
          </c:tx>
          <c:spPr>
            <a:ln>
              <a:noFill/>
            </a:ln>
          </c:spPr>
          <c:marker>
            <c:symbol val="square"/>
            <c:size val="6"/>
            <c:spPr>
              <a:solidFill>
                <a:srgbClr val="0070C0"/>
              </a:solidFill>
            </c:spPr>
          </c:marker>
          <c:xVal>
            <c:numRef>
              <c:f>'Paternal orphanhood'!$J$25</c:f>
              <c:numCache>
                <c:formatCode>0.0_)</c:formatCode>
                <c:ptCount val="1"/>
                <c:pt idx="0">
                  <c:v>1983.0260542844903</c:v>
                </c:pt>
              </c:numCache>
            </c:numRef>
          </c:xVal>
          <c:yVal>
            <c:numRef>
              <c:f>'Paternal orphanhood'!$I$25</c:f>
              <c:numCache>
                <c:formatCode>0.000_)</c:formatCode>
                <c:ptCount val="1"/>
                <c:pt idx="0">
                  <c:v>0.29111320093140114</c:v>
                </c:pt>
              </c:numCache>
            </c:numRef>
          </c:yVal>
        </c:ser>
        <c:ser>
          <c:idx val="1"/>
          <c:order val="2"/>
          <c:tx>
            <c:strRef>
              <c:f>'Paternal orphanhood'!$F$27</c:f>
              <c:strCache>
                <c:ptCount val="1"/>
                <c:pt idx="0">
                  <c:v>Men before marriage</c:v>
                </c:pt>
              </c:strCache>
            </c:strRef>
          </c:tx>
          <c:spPr>
            <a:ln>
              <a:solidFill>
                <a:srgbClr val="0070C0"/>
              </a:solidFill>
              <a:prstDash val="sysDash"/>
            </a:ln>
          </c:spPr>
          <c:marker>
            <c:symbol val="none"/>
          </c:marker>
          <c:xVal>
            <c:numRef>
              <c:f>'Paternal orphanhood'!$J$32:$J$36</c:f>
              <c:numCache>
                <c:formatCode>0.0_)</c:formatCode>
                <c:ptCount val="5"/>
                <c:pt idx="0">
                  <c:v>1972.3692384186711</c:v>
                </c:pt>
                <c:pt idx="1">
                  <c:v>1966.9390902617947</c:v>
                </c:pt>
                <c:pt idx="2">
                  <c:v>1961.3271569015581</c:v>
                </c:pt>
                <c:pt idx="3">
                  <c:v>1955.8465675217983</c:v>
                </c:pt>
                <c:pt idx="4">
                  <c:v>1950.4125347624436</c:v>
                </c:pt>
              </c:numCache>
            </c:numRef>
          </c:xVal>
          <c:yVal>
            <c:numRef>
              <c:f>'Paternal orphanhood'!$I$32:$I$36</c:f>
              <c:numCache>
                <c:formatCode>0.000_)</c:formatCode>
                <c:ptCount val="5"/>
                <c:pt idx="0">
                  <c:v>0.34646627027709553</c:v>
                </c:pt>
                <c:pt idx="1">
                  <c:v>0.36069863989760109</c:v>
                </c:pt>
                <c:pt idx="2">
                  <c:v>0.38464703115019627</c:v>
                </c:pt>
                <c:pt idx="3">
                  <c:v>0.44819371755090409</c:v>
                </c:pt>
                <c:pt idx="4">
                  <c:v>0.49721320470437513</c:v>
                </c:pt>
              </c:numCache>
            </c:numRef>
          </c:yVal>
        </c:ser>
        <c:ser>
          <c:idx val="3"/>
          <c:order val="3"/>
          <c:tx>
            <c:strRef>
              <c:f>'Maternal orphanhood'!$G$1</c:f>
              <c:strCache>
                <c:ptCount val="1"/>
                <c:pt idx="0">
                  <c:v>Women, lifetime</c:v>
                </c:pt>
              </c:strCache>
            </c:strRef>
          </c:tx>
          <c:spPr>
            <a:ln>
              <a:solidFill>
                <a:srgbClr val="C037C0"/>
              </a:solidFill>
            </a:ln>
          </c:spPr>
          <c:marker>
            <c:symbol val="none"/>
          </c:marker>
          <c:xVal>
            <c:numRef>
              <c:f>'Maternal orphanhood'!$J$8:$J$14</c:f>
              <c:numCache>
                <c:formatCode>0.0_)</c:formatCode>
                <c:ptCount val="7"/>
                <c:pt idx="0">
                  <c:v>1981.0641669954523</c:v>
                </c:pt>
                <c:pt idx="1">
                  <c:v>1979.2681794831019</c:v>
                </c:pt>
                <c:pt idx="2">
                  <c:v>1977.6540279915262</c:v>
                </c:pt>
                <c:pt idx="3">
                  <c:v>1976.2053836211403</c:v>
                </c:pt>
                <c:pt idx="4">
                  <c:v>1975.2467213745408</c:v>
                </c:pt>
                <c:pt idx="5">
                  <c:v>1974.1986206467875</c:v>
                </c:pt>
                <c:pt idx="6">
                  <c:v>1974.1274556831704</c:v>
                </c:pt>
              </c:numCache>
            </c:numRef>
          </c:xVal>
          <c:yVal>
            <c:numRef>
              <c:f>'Maternal orphanhood'!$I$8:$I$14</c:f>
              <c:numCache>
                <c:formatCode>0.000_)</c:formatCode>
                <c:ptCount val="7"/>
                <c:pt idx="0">
                  <c:v>0.20570097812849431</c:v>
                </c:pt>
                <c:pt idx="1">
                  <c:v>0.19564781432528744</c:v>
                </c:pt>
                <c:pt idx="2">
                  <c:v>0.20334968526418007</c:v>
                </c:pt>
                <c:pt idx="3">
                  <c:v>0.21827754793629561</c:v>
                </c:pt>
                <c:pt idx="4">
                  <c:v>0.20651520959012915</c:v>
                </c:pt>
                <c:pt idx="5">
                  <c:v>0.23946950523641142</c:v>
                </c:pt>
                <c:pt idx="6">
                  <c:v>0.27567968855540725</c:v>
                </c:pt>
              </c:numCache>
            </c:numRef>
          </c:yVal>
        </c:ser>
        <c:ser>
          <c:idx val="4"/>
          <c:order val="4"/>
          <c:tx>
            <c:strRef>
              <c:f>'Maternal orphanhood'!$F$16</c:f>
              <c:strCache>
                <c:ptCount val="1"/>
                <c:pt idx="0">
                  <c:v>Women since marriage</c:v>
                </c:pt>
              </c:strCache>
            </c:strRef>
          </c:tx>
          <c:spPr>
            <a:ln>
              <a:noFill/>
            </a:ln>
          </c:spPr>
          <c:marker>
            <c:symbol val="diamond"/>
            <c:size val="8"/>
            <c:spPr>
              <a:solidFill>
                <a:srgbClr val="C037C0"/>
              </a:solidFill>
              <a:ln>
                <a:solidFill>
                  <a:srgbClr val="C037C0"/>
                </a:solidFill>
              </a:ln>
            </c:spPr>
          </c:marker>
          <c:xVal>
            <c:numRef>
              <c:f>'Maternal orphanhood'!$J$28</c:f>
              <c:numCache>
                <c:formatCode>0.0_)</c:formatCode>
                <c:ptCount val="1"/>
                <c:pt idx="0">
                  <c:v>1980.9854742452212</c:v>
                </c:pt>
              </c:numCache>
            </c:numRef>
          </c:xVal>
          <c:yVal>
            <c:numRef>
              <c:f>'Maternal orphanhood'!$I$28</c:f>
              <c:numCache>
                <c:formatCode>0.000_)</c:formatCode>
                <c:ptCount val="1"/>
                <c:pt idx="0">
                  <c:v>0.20181611342801142</c:v>
                </c:pt>
              </c:numCache>
            </c:numRef>
          </c:yVal>
        </c:ser>
        <c:ser>
          <c:idx val="5"/>
          <c:order val="5"/>
          <c:tx>
            <c:strRef>
              <c:f>'Maternal orphanhood'!$F$30</c:f>
              <c:strCache>
                <c:ptCount val="1"/>
                <c:pt idx="0">
                  <c:v>Women before marriage</c:v>
                </c:pt>
              </c:strCache>
            </c:strRef>
          </c:tx>
          <c:spPr>
            <a:ln>
              <a:solidFill>
                <a:srgbClr val="C037C0"/>
              </a:solidFill>
              <a:prstDash val="sysDash"/>
            </a:ln>
          </c:spPr>
          <c:marker>
            <c:symbol val="none"/>
          </c:marker>
          <c:xVal>
            <c:numRef>
              <c:f>'Maternal orphanhood'!$J$35:$J$39</c:f>
              <c:numCache>
                <c:formatCode>0.0_)</c:formatCode>
                <c:ptCount val="5"/>
                <c:pt idx="0">
                  <c:v>1972.6063704674198</c:v>
                </c:pt>
                <c:pt idx="1">
                  <c:v>1967.195430059747</c:v>
                </c:pt>
                <c:pt idx="2">
                  <c:v>1961.5773026969509</c:v>
                </c:pt>
                <c:pt idx="3">
                  <c:v>1956.2164058538006</c:v>
                </c:pt>
                <c:pt idx="4">
                  <c:v>1950.777190294375</c:v>
                </c:pt>
              </c:numCache>
            </c:numRef>
          </c:xVal>
          <c:yVal>
            <c:numRef>
              <c:f>'Maternal orphanhood'!$I$35:$I$39</c:f>
              <c:numCache>
                <c:formatCode>0.000_)</c:formatCode>
                <c:ptCount val="5"/>
                <c:pt idx="0">
                  <c:v>0.23295864576056857</c:v>
                </c:pt>
                <c:pt idx="1">
                  <c:v>0.24547724719653885</c:v>
                </c:pt>
                <c:pt idx="2">
                  <c:v>0.27961191918972339</c:v>
                </c:pt>
                <c:pt idx="3">
                  <c:v>0.31293595128574803</c:v>
                </c:pt>
                <c:pt idx="4">
                  <c:v>0.39054025557221328</c:v>
                </c:pt>
              </c:numCache>
            </c:numRef>
          </c:yVal>
        </c:ser>
        <c:axId val="71401856"/>
        <c:axId val="71403776"/>
      </c:scatterChart>
      <c:valAx>
        <c:axId val="71401856"/>
        <c:scaling>
          <c:orientation val="minMax"/>
        </c:scaling>
        <c:axPos val="b"/>
        <c:title>
          <c:tx>
            <c:rich>
              <a:bodyPr/>
              <a:lstStyle/>
              <a:p>
                <a:pPr>
                  <a:defRPr/>
                </a:pPr>
                <a:r>
                  <a:rPr lang="en-GB"/>
                  <a:t>Date</a:t>
                </a:r>
              </a:p>
            </c:rich>
          </c:tx>
          <c:layout>
            <c:manualLayout>
              <c:xMode val="edge"/>
              <c:yMode val="edge"/>
              <c:x val="0.4951401588287162"/>
              <c:y val="0.85384761904761908"/>
            </c:manualLayout>
          </c:layout>
        </c:title>
        <c:numFmt formatCode="0" sourceLinked="0"/>
        <c:tickLblPos val="low"/>
        <c:spPr>
          <a:ln>
            <a:solidFill>
              <a:schemeClr val="tx1">
                <a:lumMod val="65000"/>
                <a:lumOff val="35000"/>
              </a:schemeClr>
            </a:solidFill>
          </a:ln>
        </c:spPr>
        <c:crossAx val="71403776"/>
        <c:crossesAt val="-1"/>
        <c:crossBetween val="midCat"/>
      </c:valAx>
      <c:valAx>
        <c:axId val="71403776"/>
        <c:scaling>
          <c:orientation val="minMax"/>
        </c:scaling>
        <c:axPos val="l"/>
        <c:majorGridlines>
          <c:spPr>
            <a:ln>
              <a:solidFill>
                <a:schemeClr val="bg1">
                  <a:lumMod val="75000"/>
                </a:schemeClr>
              </a:solidFill>
            </a:ln>
          </c:spPr>
        </c:majorGridlines>
        <c:title>
          <c:tx>
            <c:strRef>
              <c:f>Introduction!$D$12</c:f>
              <c:strCache>
                <c:ptCount val="1"/>
                <c:pt idx="0">
                  <c:v>30q30</c:v>
                </c:pt>
              </c:strCache>
            </c:strRef>
          </c:tx>
          <c:layout>
            <c:manualLayout>
              <c:xMode val="edge"/>
              <c:yMode val="edge"/>
              <c:x val="3.4209698134712386E-3"/>
              <c:y val="0.36147758159443549"/>
            </c:manualLayout>
          </c:layout>
          <c:txPr>
            <a:bodyPr rot="-5400000" vert="horz" anchor="ctr" anchorCtr="0"/>
            <a:lstStyle/>
            <a:p>
              <a:pPr algn="l">
                <a:defRPr i="1" baseline="0"/>
              </a:pPr>
              <a:endParaRPr lang="en-US"/>
            </a:p>
          </c:txPr>
        </c:title>
        <c:numFmt formatCode="#,##0.0" sourceLinked="0"/>
        <c:tickLblPos val="nextTo"/>
        <c:spPr>
          <a:ln>
            <a:solidFill>
              <a:schemeClr val="tx1">
                <a:lumMod val="65000"/>
                <a:lumOff val="35000"/>
              </a:schemeClr>
            </a:solidFill>
          </a:ln>
        </c:spPr>
        <c:crossAx val="71401856"/>
        <c:crosses val="autoZero"/>
        <c:crossBetween val="midCat"/>
        <c:majorUnit val="0.1"/>
      </c:valAx>
      <c:spPr>
        <a:solidFill>
          <a:schemeClr val="bg1"/>
        </a:solidFill>
        <a:ln w="6350"/>
      </c:spPr>
    </c:plotArea>
    <c:legend>
      <c:legendPos val="b"/>
      <c:layout>
        <c:manualLayout>
          <c:xMode val="edge"/>
          <c:yMode val="edge"/>
          <c:x val="0.10677678639777492"/>
          <c:y val="0.89935345104333864"/>
          <c:w val="0.81131477401922836"/>
          <c:h val="9.0723167469234881E-2"/>
        </c:manualLayout>
      </c:layout>
    </c:legend>
    <c:plotVisOnly val="1"/>
  </c:chart>
  <c:spPr>
    <a:solidFill>
      <a:srgbClr val="D7E6E6"/>
    </a:solidFill>
    <a:ln>
      <a:noFill/>
    </a:ln>
  </c:spPr>
  <c:txPr>
    <a:bodyPr/>
    <a:lstStyle/>
    <a:p>
      <a:pPr>
        <a:defRPr sz="1200">
          <a:latin typeface="Verdana" pitchFamily="34" charset="0"/>
        </a:defRPr>
      </a:pPr>
      <a:endParaRPr lang="en-US"/>
    </a:p>
  </c:txPr>
  <c:printSettings>
    <c:headerFooter/>
    <c:pageMargins b="0.7480314960629959" l="0.70866141732283894" r="0.70866141732283894" t="0.7480314960629959" header="0.31496062992126339" footer="0.31496062992126339"/>
    <c:pageSetup paperSize="9"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38098</xdr:rowOff>
    </xdr:from>
    <xdr:to>
      <xdr:col>14</xdr:col>
      <xdr:colOff>209550</xdr:colOff>
      <xdr:row>38</xdr:row>
      <xdr:rowOff>96898</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rphanhood%20method.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AM_Orphanhood_OneCensus_Basic%20-%20Iraq.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duction"/>
      <sheetName val="Maternal orphanhood"/>
      <sheetName val="Paternal orphanhood"/>
      <sheetName val="Graphs"/>
      <sheetName val="Model data"/>
    </sheetNames>
    <sheetDataSet>
      <sheetData sheetId="0"/>
      <sheetData sheetId="1">
        <row r="1">
          <cell r="R1">
            <v>1999.65</v>
          </cell>
        </row>
        <row r="29">
          <cell r="D29">
            <v>26</v>
          </cell>
        </row>
      </sheetData>
      <sheetData sheetId="2">
        <row r="1">
          <cell r="S1">
            <v>1999.65</v>
          </cell>
        </row>
        <row r="17">
          <cell r="C17">
            <v>34.299999999999997</v>
          </cell>
        </row>
      </sheetData>
      <sheetData sheetId="3" refreshError="1"/>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aternal orphanhood"/>
      <sheetName val="Maternal orphanhood"/>
      <sheetName val="Introduction"/>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urlhere.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tabColor theme="5" tint="0.59999389629810485"/>
    <pageSetUpPr fitToPage="1"/>
  </sheetPr>
  <dimension ref="A1:H64"/>
  <sheetViews>
    <sheetView showGridLines="0" showRowColHeaders="0" tabSelected="1" zoomScaleNormal="100" workbookViewId="0">
      <selection activeCell="D12" sqref="D12"/>
    </sheetView>
  </sheetViews>
  <sheetFormatPr defaultRowHeight="15"/>
  <cols>
    <col min="1" max="1" width="4" style="223" customWidth="1"/>
    <col min="2" max="2" width="75.875" style="172" customWidth="1"/>
    <col min="3" max="3" width="24.875" style="172" customWidth="1"/>
    <col min="4" max="4" width="13.25" style="172" customWidth="1"/>
    <col min="5" max="5" width="12.5" style="172" customWidth="1"/>
    <col min="6" max="6" width="13" style="172" customWidth="1"/>
    <col min="7" max="7" width="12.25" style="172" customWidth="1"/>
    <col min="8" max="16384" width="9" style="172"/>
  </cols>
  <sheetData>
    <row r="1" spans="1:4" ht="15.75" customHeight="1">
      <c r="B1" s="221" t="s">
        <v>131</v>
      </c>
    </row>
    <row r="2" spans="1:4" ht="15.75" customHeight="1">
      <c r="B2" s="222" t="s">
        <v>104</v>
      </c>
      <c r="C2" s="171" t="s">
        <v>77</v>
      </c>
    </row>
    <row r="3" spans="1:4" s="174" customFormat="1" ht="15.75">
      <c r="A3" s="224"/>
      <c r="B3" s="173"/>
    </row>
    <row r="4" spans="1:4" s="174" customFormat="1">
      <c r="A4" s="224"/>
      <c r="B4" s="175" t="s">
        <v>78</v>
      </c>
    </row>
    <row r="5" spans="1:4" s="174" customFormat="1">
      <c r="A5" s="224"/>
      <c r="B5" s="176" t="s">
        <v>79</v>
      </c>
      <c r="C5" s="177"/>
    </row>
    <row r="6" spans="1:4" s="178" customFormat="1" ht="15.75" customHeight="1">
      <c r="A6" s="225"/>
      <c r="B6" s="173"/>
      <c r="C6" s="174"/>
      <c r="D6" s="172"/>
    </row>
    <row r="7" spans="1:4" ht="60">
      <c r="B7" s="178" t="s">
        <v>87</v>
      </c>
      <c r="C7" s="178"/>
      <c r="D7" s="178"/>
    </row>
    <row r="8" spans="1:4" ht="15.75" thickBot="1"/>
    <row r="9" spans="1:4" ht="16.5" thickBot="1">
      <c r="B9" s="179" t="s">
        <v>80</v>
      </c>
      <c r="C9" s="252" t="s">
        <v>81</v>
      </c>
      <c r="D9" s="253"/>
    </row>
    <row r="10" spans="1:4" ht="15.75" customHeight="1">
      <c r="A10" s="223" t="s">
        <v>105</v>
      </c>
      <c r="B10" s="225" t="s">
        <v>114</v>
      </c>
      <c r="C10" s="180" t="s">
        <v>82</v>
      </c>
      <c r="D10" s="181" t="s">
        <v>50</v>
      </c>
    </row>
    <row r="11" spans="1:4" ht="31.5" customHeight="1">
      <c r="A11" s="223" t="s">
        <v>107</v>
      </c>
      <c r="B11" s="225" t="s">
        <v>106</v>
      </c>
      <c r="C11" s="182" t="s">
        <v>83</v>
      </c>
      <c r="D11" s="183" t="s">
        <v>69</v>
      </c>
    </row>
    <row r="12" spans="1:4" ht="31.5" customHeight="1">
      <c r="A12" s="223" t="s">
        <v>108</v>
      </c>
      <c r="B12" s="225" t="s">
        <v>113</v>
      </c>
      <c r="C12" s="182" t="s">
        <v>84</v>
      </c>
      <c r="D12" s="184" t="s">
        <v>85</v>
      </c>
    </row>
    <row r="13" spans="1:4" ht="31.5" customHeight="1" thickBot="1">
      <c r="A13" s="223" t="s">
        <v>109</v>
      </c>
      <c r="B13" s="225" t="s">
        <v>112</v>
      </c>
      <c r="C13" s="185" t="s">
        <v>86</v>
      </c>
      <c r="D13" s="186">
        <v>32462</v>
      </c>
    </row>
    <row r="14" spans="1:4" s="178" customFormat="1" ht="63" customHeight="1">
      <c r="A14" s="225" t="s">
        <v>110</v>
      </c>
      <c r="B14" s="225" t="s">
        <v>132</v>
      </c>
      <c r="D14" s="187"/>
    </row>
    <row r="15" spans="1:4" ht="47.25" customHeight="1">
      <c r="A15" s="226" t="s">
        <v>111</v>
      </c>
      <c r="B15" s="225" t="s">
        <v>121</v>
      </c>
      <c r="C15" s="178"/>
      <c r="D15" s="188"/>
    </row>
    <row r="16" spans="1:4" ht="141.75" customHeight="1">
      <c r="A16" s="223" t="s">
        <v>115</v>
      </c>
      <c r="B16" s="225" t="s">
        <v>133</v>
      </c>
      <c r="C16" s="178"/>
    </row>
    <row r="17" spans="1:2" ht="63" customHeight="1">
      <c r="A17" s="223" t="s">
        <v>116</v>
      </c>
      <c r="B17" s="225" t="s">
        <v>122</v>
      </c>
    </row>
    <row r="18" spans="1:2" ht="45.75">
      <c r="A18" s="226" t="s">
        <v>111</v>
      </c>
      <c r="B18" s="225" t="s">
        <v>130</v>
      </c>
    </row>
    <row r="19" spans="1:2" ht="141.75" customHeight="1">
      <c r="A19" s="223" t="s">
        <v>117</v>
      </c>
      <c r="B19" s="225" t="s">
        <v>134</v>
      </c>
    </row>
    <row r="20" spans="1:2" ht="63" customHeight="1">
      <c r="A20" s="223" t="s">
        <v>118</v>
      </c>
      <c r="B20" s="225" t="s">
        <v>123</v>
      </c>
    </row>
    <row r="21" spans="1:2" ht="94.5" customHeight="1">
      <c r="A21" s="223" t="s">
        <v>119</v>
      </c>
      <c r="B21" s="225" t="s">
        <v>124</v>
      </c>
    </row>
    <row r="22" spans="1:2" s="178" customFormat="1" ht="63" customHeight="1">
      <c r="A22" s="225" t="s">
        <v>120</v>
      </c>
      <c r="B22" s="225" t="s">
        <v>129</v>
      </c>
    </row>
    <row r="23" spans="1:2">
      <c r="B23" s="189"/>
    </row>
    <row r="44" spans="2:8">
      <c r="C44" s="190"/>
      <c r="D44" s="190"/>
      <c r="E44" s="191"/>
      <c r="F44" s="191"/>
      <c r="G44" s="191"/>
      <c r="H44" s="190"/>
    </row>
    <row r="45" spans="2:8" ht="15.75">
      <c r="H45" s="193"/>
    </row>
    <row r="46" spans="2:8">
      <c r="B46" s="192"/>
      <c r="H46" s="190"/>
    </row>
    <row r="47" spans="2:8">
      <c r="B47" s="192"/>
      <c r="H47" s="190"/>
    </row>
    <row r="48" spans="2:8">
      <c r="B48" s="192"/>
      <c r="H48" s="190"/>
    </row>
    <row r="49" spans="2:8">
      <c r="B49" s="192"/>
      <c r="H49" s="190"/>
    </row>
    <row r="50" spans="2:8">
      <c r="B50" s="192"/>
      <c r="H50" s="190"/>
    </row>
    <row r="51" spans="2:8">
      <c r="B51" s="192"/>
      <c r="H51" s="190"/>
    </row>
    <row r="52" spans="2:8">
      <c r="B52" s="192"/>
      <c r="H52" s="190"/>
    </row>
    <row r="53" spans="2:8">
      <c r="B53" s="192"/>
      <c r="H53" s="190"/>
    </row>
    <row r="54" spans="2:8">
      <c r="B54" s="192"/>
      <c r="H54" s="190"/>
    </row>
    <row r="55" spans="2:8">
      <c r="B55" s="192"/>
      <c r="H55" s="190"/>
    </row>
    <row r="56" spans="2:8">
      <c r="B56" s="192"/>
      <c r="H56" s="190"/>
    </row>
    <row r="57" spans="2:8">
      <c r="B57" s="192"/>
      <c r="H57" s="190"/>
    </row>
    <row r="58" spans="2:8">
      <c r="B58" s="192"/>
      <c r="H58" s="190"/>
    </row>
    <row r="59" spans="2:8">
      <c r="B59" s="192"/>
      <c r="H59" s="190"/>
    </row>
    <row r="60" spans="2:8">
      <c r="B60" s="192"/>
      <c r="H60" s="190"/>
    </row>
    <row r="61" spans="2:8">
      <c r="B61" s="192"/>
      <c r="C61" s="191"/>
      <c r="D61" s="191"/>
      <c r="E61" s="194"/>
      <c r="F61" s="194"/>
      <c r="G61" s="191"/>
      <c r="H61" s="190"/>
    </row>
    <row r="62" spans="2:8">
      <c r="B62" s="192"/>
      <c r="E62" s="195"/>
      <c r="F62" s="196"/>
    </row>
    <row r="63" spans="2:8">
      <c r="B63" s="192"/>
      <c r="E63" s="195"/>
      <c r="F63" s="196"/>
    </row>
    <row r="64" spans="2:8">
      <c r="E64" s="190"/>
      <c r="F64" s="190"/>
    </row>
  </sheetData>
  <sheetProtection sheet="1" objects="1" scenarios="1" selectLockedCells="1"/>
  <mergeCells count="1">
    <mergeCell ref="C9:D9"/>
  </mergeCells>
  <dataValidations count="3">
    <dataValidation type="date" operator="greaterThanOrEqual" allowBlank="1" showInputMessage="1" showErrorMessage="1" sqref="D13">
      <formula1>14611</formula1>
    </dataValidation>
    <dataValidation type="list" showInputMessage="1" showErrorMessage="1" sqref="D11">
      <formula1>#REF!</formula1>
    </dataValidation>
    <dataValidation type="list" allowBlank="1" showInputMessage="1" showErrorMessage="1" promptTitle="Select mortality index" sqref="D12">
      <formula1>"45q15,30q30"</formula1>
    </dataValidation>
  </dataValidations>
  <hyperlinks>
    <hyperlink ref="B5" r:id="rId1"/>
  </hyperlinks>
  <pageMargins left="0.70866141732283472" right="0.70866141732283472" top="0.94488188976377963" bottom="0.94488188976377963" header="0.31496062992125984" footer="0.31496062992125984"/>
  <pageSetup paperSize="9" scale="75" fitToHeight="0" orientation="portrait" r:id="rId2"/>
  <headerFooter>
    <oddHeader>&amp;L&amp;"+,Bold"&amp;13Tools for Demographic Estimation&amp;R&amp;"+,Bold"&amp;13Orphanhood before &amp;&amp; since 1st marriage</oddHeader>
    <oddFooter>&amp;L&amp;"+,Regular"&amp;F&amp;R&amp;"+,Regular"&amp;D  &amp;T</oddFooter>
  </headerFooter>
</worksheet>
</file>

<file path=xl/worksheets/sheet2.xml><?xml version="1.0" encoding="utf-8"?>
<worksheet xmlns="http://schemas.openxmlformats.org/spreadsheetml/2006/main" xmlns:r="http://schemas.openxmlformats.org/officeDocument/2006/relationships">
  <sheetPr>
    <tabColor theme="6" tint="0.59999389629810485"/>
  </sheetPr>
  <dimension ref="A1:F38"/>
  <sheetViews>
    <sheetView workbookViewId="0">
      <selection activeCell="A46" sqref="A46"/>
    </sheetView>
  </sheetViews>
  <sheetFormatPr defaultRowHeight="12"/>
  <cols>
    <col min="2" max="2" width="9.875" customWidth="1"/>
    <col min="3" max="3" width="12.5" customWidth="1"/>
    <col min="4" max="4" width="12.875" customWidth="1"/>
    <col min="5" max="5" width="13.125" customWidth="1"/>
    <col min="6" max="6" width="12.25" customWidth="1"/>
  </cols>
  <sheetData>
    <row r="1" spans="1:6" ht="15.75" customHeight="1">
      <c r="A1" s="179" t="s">
        <v>152</v>
      </c>
    </row>
    <row r="2" spans="1:6" ht="15.75" customHeight="1">
      <c r="A2" s="234" t="s">
        <v>0</v>
      </c>
      <c r="B2" s="235" t="s">
        <v>69</v>
      </c>
      <c r="C2" s="235" t="s">
        <v>125</v>
      </c>
      <c r="D2" s="235" t="s">
        <v>126</v>
      </c>
      <c r="E2" s="235" t="s">
        <v>127</v>
      </c>
      <c r="F2" s="235" t="s">
        <v>128</v>
      </c>
    </row>
    <row r="3" spans="1:6" ht="15.75" customHeight="1">
      <c r="A3" s="236">
        <v>15</v>
      </c>
      <c r="B3" s="237">
        <v>-1.0120093872886144</v>
      </c>
      <c r="C3" s="237">
        <v>-1.0216434527585596</v>
      </c>
      <c r="D3" s="237">
        <v>-0.99747988180450864</v>
      </c>
      <c r="E3" s="237">
        <v>-0.92308813761238484</v>
      </c>
      <c r="F3" s="237">
        <v>-1.0628310345295178</v>
      </c>
    </row>
    <row r="4" spans="1:6" ht="15.75" customHeight="1">
      <c r="A4" s="236">
        <v>20</v>
      </c>
      <c r="B4" s="237">
        <v>-0.97216737998664626</v>
      </c>
      <c r="C4" s="237">
        <v>-0.98032977893532447</v>
      </c>
      <c r="D4" s="237">
        <v>-0.9412902527809569</v>
      </c>
      <c r="E4" s="237">
        <v>-0.89362991164913808</v>
      </c>
      <c r="F4" s="237">
        <v>-1.0126199390449784</v>
      </c>
    </row>
    <row r="5" spans="1:6" ht="15.75" customHeight="1">
      <c r="A5" s="236">
        <v>25</v>
      </c>
      <c r="B5" s="237">
        <v>-0.92061219699043406</v>
      </c>
      <c r="C5" s="237">
        <v>-0.92533466100448625</v>
      </c>
      <c r="D5" s="237">
        <v>-0.86871639437055892</v>
      </c>
      <c r="E5" s="237">
        <v>-0.85249058208749162</v>
      </c>
      <c r="F5" s="237">
        <v>-0.94838162794560865</v>
      </c>
    </row>
    <row r="6" spans="1:6" ht="15.75" customHeight="1">
      <c r="A6" s="236">
        <v>30</v>
      </c>
      <c r="B6" s="237">
        <v>-0.8653033993365703</v>
      </c>
      <c r="C6" s="237">
        <v>-0.87455538836091418</v>
      </c>
      <c r="D6" s="237">
        <v>-0.80190938137779277</v>
      </c>
      <c r="E6" s="237">
        <v>-0.81297541010836349</v>
      </c>
      <c r="F6" s="237">
        <v>-0.88749566047132833</v>
      </c>
    </row>
    <row r="7" spans="1:6" ht="15.75" customHeight="1">
      <c r="A7" s="236">
        <v>35</v>
      </c>
      <c r="B7" s="237">
        <v>-0.8051539503544991</v>
      </c>
      <c r="C7" s="237">
        <v>-0.82319724664881344</v>
      </c>
      <c r="D7" s="237">
        <v>-0.73749907036636553</v>
      </c>
      <c r="E7" s="237">
        <v>-0.76781289470996772</v>
      </c>
      <c r="F7" s="237">
        <v>-0.82525302757005337</v>
      </c>
    </row>
    <row r="8" spans="1:6" ht="15.75" customHeight="1">
      <c r="A8" s="236">
        <v>40</v>
      </c>
      <c r="B8" s="237">
        <v>-0.73714282518851915</v>
      </c>
      <c r="C8" s="237">
        <v>-0.765120334028487</v>
      </c>
      <c r="D8" s="237">
        <v>-0.67228570930198162</v>
      </c>
      <c r="E8" s="237">
        <v>-0.71896464182741182</v>
      </c>
      <c r="F8" s="237">
        <v>-0.75648694616101142</v>
      </c>
    </row>
    <row r="9" spans="1:6" ht="15.75" customHeight="1">
      <c r="A9" s="236">
        <v>45</v>
      </c>
      <c r="B9" s="237">
        <v>-0.65845778493656193</v>
      </c>
      <c r="C9" s="237">
        <v>-0.69372102748479314</v>
      </c>
      <c r="D9" s="237">
        <v>-0.60074808639327293</v>
      </c>
      <c r="E9" s="237">
        <v>-0.65756870264589562</v>
      </c>
      <c r="F9" s="237">
        <v>-0.67540173860310226</v>
      </c>
    </row>
    <row r="10" spans="1:6" ht="15.75" customHeight="1">
      <c r="A10" s="236">
        <v>50</v>
      </c>
      <c r="B10" s="237">
        <v>-0.56414728304057082</v>
      </c>
      <c r="C10" s="237">
        <v>-0.6014538631679609</v>
      </c>
      <c r="D10" s="237">
        <v>-0.52064440178798321</v>
      </c>
      <c r="E10" s="237">
        <v>-0.58136952829019117</v>
      </c>
      <c r="F10" s="237">
        <v>-0.57697359519941038</v>
      </c>
    </row>
    <row r="11" spans="1:6" ht="15.75" customHeight="1">
      <c r="A11" s="236">
        <v>55</v>
      </c>
      <c r="B11" s="237">
        <v>-0.44819322181452675</v>
      </c>
      <c r="C11" s="237">
        <v>-0.48059222641767385</v>
      </c>
      <c r="D11" s="237">
        <v>-0.42091877772179792</v>
      </c>
      <c r="E11" s="237">
        <v>-0.48221736715301966</v>
      </c>
      <c r="F11" s="237">
        <v>-0.45547403514920326</v>
      </c>
    </row>
    <row r="12" spans="1:6" ht="15.75" customHeight="1">
      <c r="A12" s="236">
        <v>60</v>
      </c>
      <c r="B12" s="237">
        <v>-0.30623647759955197</v>
      </c>
      <c r="C12" s="237">
        <v>-0.32994497303311748</v>
      </c>
      <c r="D12" s="237">
        <v>-0.30670142535652017</v>
      </c>
      <c r="E12" s="237">
        <v>-0.35752737460346601</v>
      </c>
      <c r="F12" s="237">
        <v>-0.3072105471872339</v>
      </c>
    </row>
    <row r="13" spans="1:6" ht="15.75" customHeight="1">
      <c r="A13" s="236">
        <v>65</v>
      </c>
      <c r="B13" s="237">
        <v>-0.13204392696263348</v>
      </c>
      <c r="C13" s="237">
        <v>-0.14794309965721936</v>
      </c>
      <c r="D13" s="237">
        <v>-0.16076161535319047</v>
      </c>
      <c r="E13" s="237">
        <v>-0.19991886756406199</v>
      </c>
      <c r="F13" s="237">
        <v>-0.12616491115079384</v>
      </c>
    </row>
    <row r="14" spans="1:6" ht="15.75" customHeight="1">
      <c r="A14" s="236">
        <v>70</v>
      </c>
      <c r="B14" s="237">
        <v>8.1209596024015951E-2</v>
      </c>
      <c r="C14" s="237">
        <v>7.4658241675309739E-2</v>
      </c>
      <c r="D14" s="237">
        <v>2.4815737222618411E-2</v>
      </c>
      <c r="E14" s="237">
        <v>-2.1706292538782568E-3</v>
      </c>
      <c r="F14" s="237">
        <v>9.2715942806694832E-2</v>
      </c>
    </row>
    <row r="15" spans="1:6" ht="15.75" customHeight="1">
      <c r="A15" s="236">
        <v>75</v>
      </c>
      <c r="B15" s="237">
        <v>0.34170363499780815</v>
      </c>
      <c r="C15" s="237">
        <v>0.35695191061785997</v>
      </c>
      <c r="D15" s="237">
        <v>0.26348247810531544</v>
      </c>
      <c r="E15" s="237">
        <v>0.26324849539329309</v>
      </c>
      <c r="F15" s="237">
        <v>0.36487226371847836</v>
      </c>
    </row>
    <row r="16" spans="1:6" ht="15.75" customHeight="1">
      <c r="A16" s="236">
        <v>80</v>
      </c>
      <c r="B16" s="237">
        <v>0.66166470420896539</v>
      </c>
      <c r="C16" s="237">
        <v>0.72447176148034542</v>
      </c>
      <c r="D16" s="237">
        <v>0.57662920299237463</v>
      </c>
      <c r="E16" s="237">
        <v>0.6309228087223484</v>
      </c>
      <c r="F16" s="237">
        <v>0.71572040462564579</v>
      </c>
    </row>
    <row r="17" spans="1:6" ht="15.75" customHeight="1">
      <c r="A17" s="238">
        <v>85</v>
      </c>
      <c r="B17" s="239">
        <v>1.0683531461621327</v>
      </c>
      <c r="C17" s="239">
        <v>1.2109273426701836</v>
      </c>
      <c r="D17" s="239">
        <v>0.99874792019863612</v>
      </c>
      <c r="E17" s="239">
        <v>1.1095300030781601</v>
      </c>
      <c r="F17" s="239">
        <v>1.1852190784650467</v>
      </c>
    </row>
    <row r="18" spans="1:6" ht="15.75" customHeight="1"/>
    <row r="19" spans="1:6" ht="15.75" customHeight="1">
      <c r="A19" s="22" t="s">
        <v>66</v>
      </c>
      <c r="B19" s="57"/>
      <c r="C19" s="160" t="s">
        <v>67</v>
      </c>
      <c r="D19" s="161">
        <v>0</v>
      </c>
    </row>
    <row r="20" spans="1:6" ht="15.75" customHeight="1">
      <c r="A20" s="23"/>
      <c r="B20" s="23"/>
      <c r="C20" s="160" t="s">
        <v>68</v>
      </c>
      <c r="D20" s="161">
        <v>1</v>
      </c>
    </row>
    <row r="21" spans="1:6" ht="15.75" customHeight="1">
      <c r="A21" s="27"/>
      <c r="B21" s="162" t="str">
        <f>Introduction!D11</f>
        <v>UN General</v>
      </c>
      <c r="C21" s="162" t="s">
        <v>70</v>
      </c>
      <c r="D21" s="162" t="s">
        <v>70</v>
      </c>
    </row>
    <row r="22" spans="1:6" ht="15.75" customHeight="1">
      <c r="A22" s="28" t="s">
        <v>0</v>
      </c>
      <c r="B22" s="163" t="s">
        <v>71</v>
      </c>
      <c r="C22" s="163" t="s">
        <v>20</v>
      </c>
      <c r="D22" s="163" t="s">
        <v>20</v>
      </c>
    </row>
    <row r="23" spans="1:6" ht="15.75" customHeight="1">
      <c r="A23" s="29"/>
      <c r="B23" s="64" t="s">
        <v>72</v>
      </c>
      <c r="C23" s="71" t="s">
        <v>73</v>
      </c>
      <c r="D23" s="64" t="s">
        <v>74</v>
      </c>
    </row>
    <row r="24" spans="1:6" ht="15.75" customHeight="1">
      <c r="A24" s="164">
        <v>15</v>
      </c>
      <c r="B24" s="166">
        <f>HLOOKUP(Introduction!D$11,'Model data'!$B$2:$F$17,ROW()-ROW(A$24)+2,FALSE)</f>
        <v>-1.0120093872886144</v>
      </c>
      <c r="C24" s="166">
        <f t="shared" ref="C24:C38" si="0">$D$19+$D$20*B24</f>
        <v>-1.0120093872886144</v>
      </c>
      <c r="D24" s="34">
        <f t="shared" ref="D24:D38" si="1">1/(1+EXP(2*C24))</f>
        <v>0.88329592000000001</v>
      </c>
    </row>
    <row r="25" spans="1:6" ht="15.75" customHeight="1">
      <c r="A25" s="164">
        <f t="shared" ref="A25:A38" si="2">5+A24</f>
        <v>20</v>
      </c>
      <c r="B25" s="85">
        <f>HLOOKUP(Introduction!D$11,'Model data'!$B$2:$F$17,ROW()-ROW(A$24)+2,FALSE)</f>
        <v>-0.97216737998664626</v>
      </c>
      <c r="C25" s="85">
        <f t="shared" si="0"/>
        <v>-0.97216737998664626</v>
      </c>
      <c r="D25" s="34">
        <f t="shared" si="1"/>
        <v>0.8748275900000001</v>
      </c>
    </row>
    <row r="26" spans="1:6" ht="15.75" customHeight="1">
      <c r="A26" s="164">
        <f t="shared" si="2"/>
        <v>25</v>
      </c>
      <c r="B26" s="85">
        <f>HLOOKUP(Introduction!D$11,'Model data'!$B$2:$F$17,ROW()-ROW(A$24)+2,FALSE)</f>
        <v>-0.92061219699043406</v>
      </c>
      <c r="C26" s="85">
        <f t="shared" si="0"/>
        <v>-0.92061219699043406</v>
      </c>
      <c r="D26" s="34">
        <f t="shared" si="1"/>
        <v>0.86309345000000004</v>
      </c>
    </row>
    <row r="27" spans="1:6" ht="15.75" customHeight="1">
      <c r="A27" s="164">
        <f t="shared" si="2"/>
        <v>30</v>
      </c>
      <c r="B27" s="85">
        <f>HLOOKUP(Introduction!D$11,'Model data'!$B$2:$F$17,ROW()-ROW(A$24)+2,FALSE)</f>
        <v>-0.8653033993365703</v>
      </c>
      <c r="C27" s="85">
        <f t="shared" si="0"/>
        <v>-0.8653033993365703</v>
      </c>
      <c r="D27" s="34">
        <f t="shared" si="1"/>
        <v>0.84949001999999985</v>
      </c>
    </row>
    <row r="28" spans="1:6" ht="15.75" customHeight="1">
      <c r="A28" s="164">
        <f t="shared" si="2"/>
        <v>35</v>
      </c>
      <c r="B28" s="85">
        <f>HLOOKUP(Introduction!D$11,'Model data'!$B$2:$F$17,ROW()-ROW(A$24)+2,FALSE)</f>
        <v>-0.8051539503544991</v>
      </c>
      <c r="C28" s="85">
        <f t="shared" si="0"/>
        <v>-0.8051539503544991</v>
      </c>
      <c r="D28" s="34">
        <f t="shared" si="1"/>
        <v>0.8334541299999999</v>
      </c>
    </row>
    <row r="29" spans="1:6" ht="15.75" customHeight="1">
      <c r="A29" s="164">
        <f t="shared" si="2"/>
        <v>40</v>
      </c>
      <c r="B29" s="85">
        <f>HLOOKUP(Introduction!D$11,'Model data'!$B$2:$F$17,ROW()-ROW(A$24)+2,FALSE)</f>
        <v>-0.73714282518851915</v>
      </c>
      <c r="C29" s="85">
        <f t="shared" si="0"/>
        <v>-0.73714282518851915</v>
      </c>
      <c r="D29" s="34">
        <f t="shared" si="1"/>
        <v>0.81370790999999998</v>
      </c>
    </row>
    <row r="30" spans="1:6" ht="15.75" customHeight="1">
      <c r="A30" s="164">
        <f t="shared" si="2"/>
        <v>45</v>
      </c>
      <c r="B30" s="85">
        <f>HLOOKUP(Introduction!D$11,'Model data'!$B$2:$F$17,ROW()-ROW(A$24)+2,FALSE)</f>
        <v>-0.65845778493656193</v>
      </c>
      <c r="C30" s="85">
        <f t="shared" si="0"/>
        <v>-0.65845778493656193</v>
      </c>
      <c r="D30" s="34">
        <f t="shared" si="1"/>
        <v>0.78866807999999999</v>
      </c>
    </row>
    <row r="31" spans="1:6" ht="15.75" customHeight="1">
      <c r="A31" s="164">
        <f t="shared" si="2"/>
        <v>50</v>
      </c>
      <c r="B31" s="85">
        <f>HLOOKUP(Introduction!D$11,'Model data'!$B$2:$F$17,ROW()-ROW(A$24)+2,FALSE)</f>
        <v>-0.56414728304057082</v>
      </c>
      <c r="C31" s="85">
        <f t="shared" si="0"/>
        <v>-0.56414728304057082</v>
      </c>
      <c r="D31" s="34">
        <f t="shared" si="1"/>
        <v>0.75552403000000001</v>
      </c>
    </row>
    <row r="32" spans="1:6" ht="15.75" customHeight="1">
      <c r="A32" s="164">
        <f t="shared" si="2"/>
        <v>55</v>
      </c>
      <c r="B32" s="85">
        <f>HLOOKUP(Introduction!D$11,'Model data'!$B$2:$F$17,ROW()-ROW(A$24)+2,FALSE)</f>
        <v>-0.44819322181452675</v>
      </c>
      <c r="C32" s="85">
        <f t="shared" si="0"/>
        <v>-0.44819322181452675</v>
      </c>
      <c r="D32" s="34">
        <f t="shared" si="1"/>
        <v>0.71020634999999999</v>
      </c>
    </row>
    <row r="33" spans="1:4" ht="15.75" customHeight="1">
      <c r="A33" s="164">
        <f t="shared" si="2"/>
        <v>60</v>
      </c>
      <c r="B33" s="85">
        <f>HLOOKUP(Introduction!D$11,'Model data'!$B$2:$F$17,ROW()-ROW(A$24)+2,FALSE)</f>
        <v>-0.30623647759955197</v>
      </c>
      <c r="C33" s="85">
        <f t="shared" si="0"/>
        <v>-0.30623647759955197</v>
      </c>
      <c r="D33" s="34">
        <f t="shared" si="1"/>
        <v>0.64850470999999998</v>
      </c>
    </row>
    <row r="34" spans="1:4" ht="15.75" customHeight="1">
      <c r="A34" s="164">
        <f t="shared" si="2"/>
        <v>65</v>
      </c>
      <c r="B34" s="85">
        <f>HLOOKUP(Introduction!D$11,'Model data'!$B$2:$F$17,ROW()-ROW(A$24)+2,FALSE)</f>
        <v>-0.13204392696263348</v>
      </c>
      <c r="C34" s="85">
        <f t="shared" si="0"/>
        <v>-0.13204392696263348</v>
      </c>
      <c r="D34" s="34">
        <f t="shared" si="1"/>
        <v>0.56564091000000005</v>
      </c>
    </row>
    <row r="35" spans="1:4" ht="15.75" customHeight="1">
      <c r="A35" s="164">
        <f t="shared" si="2"/>
        <v>70</v>
      </c>
      <c r="B35" s="85">
        <f>HLOOKUP(Introduction!D$11,'Model data'!$B$2:$F$17,ROW()-ROW(A$24)+2,FALSE)</f>
        <v>8.1209596024015951E-2</v>
      </c>
      <c r="C35" s="85">
        <f t="shared" si="0"/>
        <v>8.1209596024015951E-2</v>
      </c>
      <c r="D35" s="34">
        <f t="shared" si="1"/>
        <v>0.45948423000000005</v>
      </c>
    </row>
    <row r="36" spans="1:4" ht="15.75" customHeight="1">
      <c r="A36" s="164">
        <f t="shared" si="2"/>
        <v>75</v>
      </c>
      <c r="B36" s="85">
        <f>HLOOKUP(Introduction!D$11,'Model data'!$B$2:$F$17,ROW()-ROW(A$24)+2,FALSE)</f>
        <v>0.34170363499780815</v>
      </c>
      <c r="C36" s="85">
        <f t="shared" si="0"/>
        <v>0.34170363499780815</v>
      </c>
      <c r="D36" s="34">
        <f t="shared" si="1"/>
        <v>0.33550125999999997</v>
      </c>
    </row>
    <row r="37" spans="1:4" ht="15.75" customHeight="1">
      <c r="A37" s="164">
        <f t="shared" si="2"/>
        <v>80</v>
      </c>
      <c r="B37" s="85">
        <f>HLOOKUP(Introduction!D$11,'Model data'!$B$2:$F$17,ROW()-ROW(A$24)+2,FALSE)</f>
        <v>0.66166470420896539</v>
      </c>
      <c r="C37" s="85">
        <f t="shared" si="0"/>
        <v>0.66166470420896539</v>
      </c>
      <c r="D37" s="34">
        <f t="shared" si="1"/>
        <v>0.21026489999999998</v>
      </c>
    </row>
    <row r="38" spans="1:4" ht="15.75" customHeight="1">
      <c r="A38" s="165">
        <f t="shared" si="2"/>
        <v>85</v>
      </c>
      <c r="B38" s="39">
        <f>HLOOKUP(Introduction!D$11,'Model data'!$B$2:$F$17,ROW()-ROW(A$24)+2,FALSE)</f>
        <v>1.0683531461621327</v>
      </c>
      <c r="C38" s="39">
        <f t="shared" si="0"/>
        <v>1.0683531461621327</v>
      </c>
      <c r="D38" s="39">
        <f t="shared" si="1"/>
        <v>0.10558002000000002</v>
      </c>
    </row>
  </sheetData>
  <sheetProtection sheet="1" objects="1" scenarios="1"/>
  <dataValidations disablePrompts="1" count="2">
    <dataValidation type="decimal" allowBlank="1" showInputMessage="1" showErrorMessage="1" error="0.6&lt;β&lt;1.5" promptTitle="Slope parameter" prompt="β can vary between 0.6 (relatively high mortality at younger ages) and 1.5 (relatively high mortality at older ages) around a central value of one." sqref="D20">
      <formula1>0.6</formula1>
      <formula2>1.5</formula2>
    </dataValidation>
    <dataValidation type="decimal" allowBlank="1" showInputMessage="1" showErrorMessage="1" error="-1.5&lt;α&lt;1" promptTitle="Level parameter" prompt="α can vary from -1.5 (low mortality) to 1 (high mortality) around a central value of zero" sqref="D19">
      <formula1>-1.5</formula1>
      <formula2>1</formula2>
    </dataValidation>
  </dataValidations>
  <pageMargins left="0.70866141732283472" right="0.70866141732283472" top="0.74803149606299213" bottom="0.74803149606299213" header="0.31496062992125984" footer="0.31496062992125984"/>
  <pageSetup paperSize="9" orientation="portrait" verticalDpi="0" r:id="rId1"/>
  <headerFooter>
    <oddHeader>&amp;L&amp;"+,Bold"&amp;13Tools for Demographic Estimation&amp;R&amp;"+,Bold"&amp;13Orphanhood before &amp;&amp; since 1st marriage</oddHeader>
    <oddFooter>&amp;L&amp;"+,Regular"&amp;12&amp;F&amp;R&amp;"+,Regular"&amp;12&amp;D  &amp;T</oddFooter>
  </headerFooter>
</worksheet>
</file>

<file path=xl/worksheets/sheet3.xml><?xml version="1.0" encoding="utf-8"?>
<worksheet xmlns="http://schemas.openxmlformats.org/spreadsheetml/2006/main" xmlns:r="http://schemas.openxmlformats.org/officeDocument/2006/relationships">
  <sheetPr transitionEvaluation="1" codeName="Sheet2">
    <tabColor theme="7" tint="0.59999389629810485"/>
  </sheetPr>
  <dimension ref="A1:AV66"/>
  <sheetViews>
    <sheetView workbookViewId="0"/>
  </sheetViews>
  <sheetFormatPr defaultColWidth="8.625" defaultRowHeight="15"/>
  <cols>
    <col min="1" max="1" width="6.125" style="1" customWidth="1"/>
    <col min="2" max="2" width="10.375" style="1" customWidth="1"/>
    <col min="3" max="4" width="9.125" style="1" customWidth="1"/>
    <col min="5" max="5" width="8.125" style="1" customWidth="1"/>
    <col min="6" max="8" width="8.625" style="1" customWidth="1"/>
    <col min="9" max="9" width="9.125" style="1" customWidth="1"/>
    <col min="10" max="10" width="10.375" style="1" customWidth="1"/>
    <col min="11" max="11" width="2.625" style="1" customWidth="1"/>
    <col min="12" max="12" width="8.75" style="1" customWidth="1"/>
    <col min="13" max="14" width="8.625" style="1"/>
    <col min="15" max="15" width="8.625" style="9"/>
    <col min="16" max="16" width="11" style="9" customWidth="1"/>
    <col min="17" max="19" width="8.625" style="9"/>
    <col min="20" max="20" width="2.625" style="9" customWidth="1"/>
    <col min="21" max="36" width="8.625" style="9"/>
    <col min="37" max="39" width="8.625" style="1"/>
    <col min="40" max="41" width="8.625" style="1" customWidth="1"/>
    <col min="42" max="16384" width="8.625" style="1"/>
  </cols>
  <sheetData>
    <row r="1" spans="1:46" ht="15.75">
      <c r="A1" s="261" t="s">
        <v>58</v>
      </c>
      <c r="B1" s="23"/>
      <c r="C1" s="23"/>
      <c r="D1" s="23"/>
      <c r="E1" s="23"/>
      <c r="F1" s="261" t="s">
        <v>50</v>
      </c>
      <c r="G1" s="261" t="s">
        <v>158</v>
      </c>
      <c r="I1" s="24" t="s">
        <v>17</v>
      </c>
      <c r="J1" s="197">
        <f>Introduction!D13</f>
        <v>32462</v>
      </c>
      <c r="K1" s="56"/>
      <c r="L1" s="22" t="s">
        <v>16</v>
      </c>
      <c r="M1" s="23"/>
      <c r="N1" s="23"/>
      <c r="O1" s="23"/>
      <c r="P1" s="23"/>
      <c r="Q1" s="23"/>
      <c r="R1" s="24" t="s">
        <v>17</v>
      </c>
      <c r="S1" s="139">
        <f>YEAR(J1)+YEARFRAC(DATE(YEAR(J1)-1,12,31),J1)</f>
        <v>1988.875</v>
      </c>
      <c r="T1" s="57"/>
      <c r="U1" s="59" t="s">
        <v>153</v>
      </c>
      <c r="V1" s="23"/>
      <c r="W1" s="23"/>
      <c r="X1" s="23"/>
      <c r="Y1" s="23"/>
      <c r="AK1" s="2"/>
      <c r="AM1" s="14"/>
      <c r="AN1" s="15"/>
      <c r="AO1" s="15"/>
      <c r="AP1" s="15"/>
      <c r="AQ1" s="15"/>
      <c r="AR1" s="15"/>
      <c r="AS1" s="15"/>
      <c r="AT1" s="15"/>
    </row>
    <row r="2" spans="1:46" ht="16.5">
      <c r="A2" s="105"/>
      <c r="B2" s="242"/>
      <c r="C2" s="242"/>
      <c r="D2" s="242"/>
      <c r="E2" s="254" t="s">
        <v>138</v>
      </c>
      <c r="F2" s="105"/>
      <c r="G2" s="242"/>
      <c r="H2" s="242"/>
      <c r="I2" s="254" t="s">
        <v>137</v>
      </c>
      <c r="J2" s="105"/>
      <c r="K2" s="58"/>
      <c r="L2" s="26" t="s">
        <v>0</v>
      </c>
      <c r="M2" s="26" t="s">
        <v>18</v>
      </c>
      <c r="N2" s="26" t="s">
        <v>19</v>
      </c>
      <c r="O2" s="26" t="s">
        <v>20</v>
      </c>
      <c r="P2" s="26" t="s">
        <v>21</v>
      </c>
      <c r="Q2" s="26" t="s">
        <v>22</v>
      </c>
      <c r="R2" s="26" t="s">
        <v>1</v>
      </c>
      <c r="S2" s="27"/>
      <c r="T2" s="57"/>
      <c r="U2" s="60"/>
      <c r="V2" s="60"/>
      <c r="W2" s="60"/>
      <c r="X2" s="60"/>
      <c r="Y2" s="23"/>
      <c r="AK2" s="2"/>
      <c r="AP2" s="12"/>
      <c r="AQ2" s="11"/>
      <c r="AR2" s="8"/>
      <c r="AS2" s="8"/>
      <c r="AT2" s="9"/>
    </row>
    <row r="3" spans="1:46" ht="16.5" customHeight="1">
      <c r="A3" s="28" t="s">
        <v>0</v>
      </c>
      <c r="B3" s="28" t="s">
        <v>41</v>
      </c>
      <c r="C3" s="28" t="s">
        <v>42</v>
      </c>
      <c r="D3" s="28" t="s">
        <v>19</v>
      </c>
      <c r="E3" s="255"/>
      <c r="F3" s="240" t="s">
        <v>43</v>
      </c>
      <c r="G3" s="28" t="s">
        <v>20</v>
      </c>
      <c r="H3" s="28" t="s">
        <v>44</v>
      </c>
      <c r="I3" s="255"/>
      <c r="J3" s="241"/>
      <c r="K3" s="58"/>
      <c r="L3" s="28" t="s">
        <v>23</v>
      </c>
      <c r="M3" s="28" t="s">
        <v>24</v>
      </c>
      <c r="N3" s="28" t="s">
        <v>25</v>
      </c>
      <c r="O3" s="28" t="s">
        <v>26</v>
      </c>
      <c r="P3" s="28" t="s">
        <v>27</v>
      </c>
      <c r="Q3" s="28" t="s">
        <v>28</v>
      </c>
      <c r="R3" s="28" t="s">
        <v>29</v>
      </c>
      <c r="S3" s="28" t="s">
        <v>13</v>
      </c>
      <c r="T3" s="57"/>
      <c r="U3" s="66" t="s">
        <v>9</v>
      </c>
      <c r="V3" s="28" t="s">
        <v>36</v>
      </c>
      <c r="W3" s="28" t="s">
        <v>37</v>
      </c>
      <c r="X3" s="28" t="s">
        <v>38</v>
      </c>
      <c r="Y3" s="23"/>
      <c r="Z3" s="13"/>
      <c r="AC3" s="13"/>
      <c r="AD3" s="13"/>
      <c r="AE3" s="13"/>
      <c r="AF3" s="13"/>
      <c r="AG3" s="13"/>
      <c r="AH3" s="13"/>
      <c r="AI3" s="13"/>
      <c r="AJ3" s="13"/>
      <c r="AK3" s="2"/>
      <c r="AL3" s="3"/>
      <c r="AM3" s="11"/>
      <c r="AP3" s="12"/>
      <c r="AQ3" s="11"/>
      <c r="AR3" s="8"/>
      <c r="AS3" s="8"/>
      <c r="AT3" s="9"/>
    </row>
    <row r="4" spans="1:46" ht="18">
      <c r="A4" s="31" t="s">
        <v>23</v>
      </c>
      <c r="B4" s="31" t="s">
        <v>45</v>
      </c>
      <c r="C4" s="31" t="s">
        <v>88</v>
      </c>
      <c r="D4" s="31" t="s">
        <v>31</v>
      </c>
      <c r="E4" s="256"/>
      <c r="F4" s="61" t="s">
        <v>46</v>
      </c>
      <c r="G4" s="31" t="s">
        <v>47</v>
      </c>
      <c r="H4" s="62" t="s">
        <v>48</v>
      </c>
      <c r="I4" s="63" t="str">
        <f>Introduction!D$12</f>
        <v>30q30</v>
      </c>
      <c r="J4" s="64" t="s">
        <v>13</v>
      </c>
      <c r="K4" s="65"/>
      <c r="L4" s="29"/>
      <c r="M4" s="30" t="s">
        <v>30</v>
      </c>
      <c r="N4" s="31" t="s">
        <v>31</v>
      </c>
      <c r="O4" s="30" t="s">
        <v>32</v>
      </c>
      <c r="P4" s="31" t="s">
        <v>33</v>
      </c>
      <c r="Q4" s="31" t="s">
        <v>34</v>
      </c>
      <c r="R4" s="30" t="s">
        <v>35</v>
      </c>
      <c r="S4" s="29"/>
      <c r="T4" s="57"/>
      <c r="U4" s="73"/>
      <c r="V4" s="73"/>
      <c r="W4" s="73"/>
      <c r="X4" s="73"/>
      <c r="Y4" s="23"/>
      <c r="AK4" s="2"/>
      <c r="AL4" s="3"/>
      <c r="AM4" s="2"/>
      <c r="AP4" s="12"/>
      <c r="AQ4" s="11"/>
      <c r="AR4" s="8"/>
      <c r="AS4" s="8"/>
      <c r="AT4" s="9"/>
    </row>
    <row r="5" spans="1:46" ht="16.5">
      <c r="A5" s="67" t="s">
        <v>49</v>
      </c>
      <c r="B5" s="28"/>
      <c r="C5" s="28"/>
      <c r="D5" s="28"/>
      <c r="E5" s="28"/>
      <c r="F5" s="68"/>
      <c r="G5" s="34"/>
      <c r="H5" s="69"/>
      <c r="I5" s="70"/>
      <c r="J5" s="71"/>
      <c r="K5" s="65"/>
      <c r="L5" s="72"/>
      <c r="M5" s="66"/>
      <c r="N5" s="28"/>
      <c r="O5" s="66"/>
      <c r="P5" s="28"/>
      <c r="Q5" s="28"/>
      <c r="R5" s="66"/>
      <c r="S5" s="72"/>
      <c r="T5" s="57"/>
      <c r="U5" s="50"/>
      <c r="V5" s="50"/>
      <c r="W5" s="50"/>
      <c r="X5" s="50"/>
      <c r="Y5" s="23"/>
      <c r="AK5" s="2"/>
      <c r="AL5" s="3"/>
      <c r="AM5" s="11"/>
      <c r="AP5" s="12"/>
      <c r="AQ5" s="11"/>
      <c r="AR5" s="8"/>
      <c r="AS5" s="8"/>
      <c r="AT5" s="9"/>
    </row>
    <row r="6" spans="1:46" ht="15.75">
      <c r="A6" s="32" t="s">
        <v>14</v>
      </c>
      <c r="B6" s="54"/>
      <c r="C6" s="54"/>
      <c r="D6" s="83"/>
      <c r="E6" s="231">
        <f>$C$56</f>
        <v>26</v>
      </c>
      <c r="F6" s="34">
        <f t="shared" ref="F6:F14" si="0">V6+W6*E6+X6*D6</f>
        <v>-0.25690000000000002</v>
      </c>
      <c r="G6" s="85">
        <f>'Model data'!D28</f>
        <v>0.8334541299999999</v>
      </c>
      <c r="H6" s="167" t="e">
        <f>-0.5*LN(1+(F6/G6-1/'Model data'!D$26)/(1-F6))</f>
        <v>#NUM!</v>
      </c>
      <c r="I6" s="167" t="e">
        <f>1-(1+EXP(2*(H6+IF(Introduction!D$12="45q15",'Model data'!$C$24,'Model data'!$C$27))))/(1+EXP(2*(H6+'Model data'!$C$33)))</f>
        <v>#NUM!</v>
      </c>
      <c r="J6" s="75" t="e">
        <f>S6</f>
        <v>#NUM!</v>
      </c>
      <c r="K6" s="76"/>
      <c r="L6" s="32" t="s">
        <v>14</v>
      </c>
      <c r="M6" s="33">
        <f>7.5</f>
        <v>7.5</v>
      </c>
      <c r="N6" s="34">
        <f t="shared" ref="N6:N7" si="1">D6</f>
        <v>0</v>
      </c>
      <c r="O6" s="85">
        <f t="shared" ref="O6:O14" si="2">(1-(E6+M6)/80)/(1-E6/80)</f>
        <v>0.86111111111111116</v>
      </c>
      <c r="P6" s="34" t="e">
        <f t="shared" ref="P6:P14" si="3">LN(N6/O6)/3</f>
        <v>#NUM!</v>
      </c>
      <c r="Q6" s="33">
        <f t="shared" ref="Q6:Q14" si="4">M6/2</f>
        <v>3.75</v>
      </c>
      <c r="R6" s="35" t="e">
        <f t="shared" ref="R6:R14" si="5">Q6*(1-P6)</f>
        <v>#NUM!</v>
      </c>
      <c r="S6" s="77" t="e">
        <f>Date_of_survey-R6</f>
        <v>#NUM!</v>
      </c>
      <c r="T6" s="57"/>
      <c r="U6" s="32">
        <f>10</f>
        <v>10</v>
      </c>
      <c r="V6" s="34">
        <v>-0.28939999999999999</v>
      </c>
      <c r="W6" s="145">
        <v>1.25E-3</v>
      </c>
      <c r="X6" s="34">
        <v>1.2559</v>
      </c>
      <c r="Y6" s="23"/>
      <c r="AK6" s="2"/>
      <c r="AL6" s="3"/>
      <c r="AM6" s="2"/>
      <c r="AP6" s="12"/>
      <c r="AQ6" s="11"/>
      <c r="AR6" s="8"/>
      <c r="AS6" s="8"/>
      <c r="AT6" s="9"/>
    </row>
    <row r="7" spans="1:46" ht="15.75">
      <c r="A7" s="32" t="s">
        <v>15</v>
      </c>
      <c r="B7" s="54"/>
      <c r="C7" s="54"/>
      <c r="D7" s="83"/>
      <c r="E7" s="231">
        <f t="shared" ref="E7:E14" si="6">$C$56</f>
        <v>26</v>
      </c>
      <c r="F7" s="34">
        <f t="shared" si="0"/>
        <v>-0.11408</v>
      </c>
      <c r="G7" s="85">
        <f>'Model data'!D29</f>
        <v>0.81370790999999998</v>
      </c>
      <c r="H7" s="167" t="e">
        <f>-0.5*LN(1+(F7/G7-1/'Model data'!D$26)/(1-F7))</f>
        <v>#NUM!</v>
      </c>
      <c r="I7" s="167" t="e">
        <f>1-(1+EXP(2*(H7+IF(Introduction!D$12="45q15",'Model data'!$C$24,'Model data'!$C$27))))/(1+EXP(2*(H7+'Model data'!$C$33)))</f>
        <v>#NUM!</v>
      </c>
      <c r="J7" s="75" t="e">
        <f>S7</f>
        <v>#NUM!</v>
      </c>
      <c r="K7" s="76"/>
      <c r="L7" s="32" t="s">
        <v>15</v>
      </c>
      <c r="M7" s="33">
        <f>M6+5</f>
        <v>12.5</v>
      </c>
      <c r="N7" s="34">
        <f t="shared" si="1"/>
        <v>0</v>
      </c>
      <c r="O7" s="85">
        <f t="shared" si="2"/>
        <v>0.76851851851851849</v>
      </c>
      <c r="P7" s="34" t="e">
        <f t="shared" si="3"/>
        <v>#NUM!</v>
      </c>
      <c r="Q7" s="33">
        <f t="shared" si="4"/>
        <v>6.25</v>
      </c>
      <c r="R7" s="35" t="e">
        <f t="shared" si="5"/>
        <v>#NUM!</v>
      </c>
      <c r="S7" s="77" t="e">
        <f>Date_of_survey-R7</f>
        <v>#NUM!</v>
      </c>
      <c r="T7" s="57"/>
      <c r="U7" s="96">
        <f>U6+5</f>
        <v>15</v>
      </c>
      <c r="V7" s="34">
        <v>-0.17180000000000001</v>
      </c>
      <c r="W7" s="145">
        <v>2.2200000000000002E-3</v>
      </c>
      <c r="X7" s="34">
        <v>1.1123000000000001</v>
      </c>
      <c r="Y7" s="23"/>
      <c r="AK7" s="2"/>
      <c r="AL7" s="3"/>
      <c r="AM7" s="11"/>
      <c r="AP7" s="12"/>
      <c r="AQ7" s="11"/>
      <c r="AR7" s="8"/>
      <c r="AS7" s="8"/>
      <c r="AT7" s="9"/>
    </row>
    <row r="8" spans="1:46" ht="15.75">
      <c r="A8" s="32" t="s">
        <v>2</v>
      </c>
      <c r="B8" s="54"/>
      <c r="C8" s="54"/>
      <c r="D8" s="83">
        <v>0.93269999999999997</v>
      </c>
      <c r="E8" s="231">
        <f t="shared" si="6"/>
        <v>26</v>
      </c>
      <c r="F8" s="34">
        <f t="shared" si="0"/>
        <v>0.92708674999999996</v>
      </c>
      <c r="G8" s="85">
        <f>'Model data'!D30</f>
        <v>0.78866807999999999</v>
      </c>
      <c r="H8" s="167">
        <f>-0.5*LN(1+(F8/G8-1/'Model data'!D$26)/(1-F8))</f>
        <v>-0.10415490844922191</v>
      </c>
      <c r="I8" s="167">
        <f>1-(1+EXP(2*(H8+IF(Introduction!D$12="45q15",'Model data'!$C$24,'Model data'!$C$27))))/(1+EXP(2*(H8+'Model data'!$C$33)))</f>
        <v>0.20570097812849431</v>
      </c>
      <c r="J8" s="75">
        <f>S8</f>
        <v>1981.0641669954523</v>
      </c>
      <c r="K8" s="76"/>
      <c r="L8" s="32" t="s">
        <v>2</v>
      </c>
      <c r="M8" s="33">
        <f t="shared" ref="M8:M14" si="7">M7+5</f>
        <v>17.5</v>
      </c>
      <c r="N8" s="34">
        <f>D8</f>
        <v>0.93269999999999997</v>
      </c>
      <c r="O8" s="85">
        <f t="shared" si="2"/>
        <v>0.67592592592592593</v>
      </c>
      <c r="P8" s="34">
        <f t="shared" si="3"/>
        <v>0.10733337090883645</v>
      </c>
      <c r="Q8" s="33">
        <f t="shared" si="4"/>
        <v>8.75</v>
      </c>
      <c r="R8" s="35">
        <f t="shared" si="5"/>
        <v>7.810833004547681</v>
      </c>
      <c r="S8" s="77">
        <f>Date_of_survey-R8</f>
        <v>1981.0641669954523</v>
      </c>
      <c r="T8" s="57"/>
      <c r="U8" s="96">
        <f t="shared" ref="U8:U14" si="8">U7+5</f>
        <v>20</v>
      </c>
      <c r="V8" s="34">
        <v>-0.15129999999999999</v>
      </c>
      <c r="W8" s="145">
        <v>3.7200000000000002E-3</v>
      </c>
      <c r="X8" s="34">
        <v>1.0525</v>
      </c>
      <c r="Y8" s="23"/>
      <c r="AK8" s="2"/>
      <c r="AL8" s="3"/>
      <c r="AM8" s="2"/>
      <c r="AP8" s="12"/>
      <c r="AQ8" s="11"/>
      <c r="AR8" s="8"/>
      <c r="AS8" s="8"/>
      <c r="AT8" s="9"/>
    </row>
    <row r="9" spans="1:46" ht="15.75">
      <c r="A9" s="32" t="s">
        <v>3</v>
      </c>
      <c r="B9" s="54"/>
      <c r="C9" s="54"/>
      <c r="D9" s="83">
        <v>0.90410000000000001</v>
      </c>
      <c r="E9" s="231">
        <f t="shared" si="6"/>
        <v>26</v>
      </c>
      <c r="F9" s="34">
        <f t="shared" si="0"/>
        <v>0.89979946999999993</v>
      </c>
      <c r="G9" s="85">
        <f>'Model data'!D31</f>
        <v>0.75552403000000001</v>
      </c>
      <c r="H9" s="167">
        <f>-0.5*LN(1+(F9/G9-1/'Model data'!D$26)/(1-F9))</f>
        <v>-0.13984869902708211</v>
      </c>
      <c r="I9" s="167">
        <f>1-(1+EXP(2*(H9+IF(Introduction!D$12="45q15",'Model data'!$C$24,'Model data'!$C$27))))/(1+EXP(2*(H9+'Model data'!$C$33)))</f>
        <v>0.19564781432528744</v>
      </c>
      <c r="J9" s="75">
        <f>S9</f>
        <v>1979.2681794831019</v>
      </c>
      <c r="K9" s="76"/>
      <c r="L9" s="32" t="s">
        <v>3</v>
      </c>
      <c r="M9" s="33">
        <f t="shared" si="7"/>
        <v>22.5</v>
      </c>
      <c r="N9" s="34">
        <f t="shared" ref="N9:N14" si="9">D9</f>
        <v>0.90410000000000001</v>
      </c>
      <c r="O9" s="85">
        <f t="shared" si="2"/>
        <v>0.58333333333333337</v>
      </c>
      <c r="P9" s="34">
        <f t="shared" si="3"/>
        <v>0.14606039849795691</v>
      </c>
      <c r="Q9" s="33">
        <f t="shared" si="4"/>
        <v>11.25</v>
      </c>
      <c r="R9" s="35">
        <f t="shared" si="5"/>
        <v>9.6068205168979848</v>
      </c>
      <c r="S9" s="77">
        <f>Date_of_survey-R9</f>
        <v>1979.2681794831019</v>
      </c>
      <c r="T9" s="57"/>
      <c r="U9" s="96">
        <f t="shared" si="8"/>
        <v>25</v>
      </c>
      <c r="V9" s="34">
        <v>-0.18079999999999999</v>
      </c>
      <c r="W9" s="145">
        <v>5.8599999999999998E-3</v>
      </c>
      <c r="X9" s="34">
        <v>1.0266999999999999</v>
      </c>
      <c r="Y9" s="23"/>
      <c r="AK9" s="2"/>
      <c r="AL9" s="3"/>
      <c r="AM9" s="11"/>
      <c r="AP9" s="12"/>
      <c r="AQ9" s="11"/>
      <c r="AR9" s="8"/>
      <c r="AS9" s="8"/>
      <c r="AT9" s="9"/>
    </row>
    <row r="10" spans="1:46" ht="15.75">
      <c r="A10" s="32" t="s">
        <v>4</v>
      </c>
      <c r="B10" s="54"/>
      <c r="C10" s="54"/>
      <c r="D10" s="83">
        <v>0.85209999999999997</v>
      </c>
      <c r="E10" s="231">
        <f t="shared" si="6"/>
        <v>26</v>
      </c>
      <c r="F10" s="34">
        <f t="shared" si="0"/>
        <v>0.84976098999999994</v>
      </c>
      <c r="G10" s="85">
        <f>'Model data'!D32</f>
        <v>0.71020634999999999</v>
      </c>
      <c r="H10" s="167">
        <f>-0.5*LN(1+(F10/G10-1/'Model data'!D$26)/(1-F10))</f>
        <v>-0.11241207393664161</v>
      </c>
      <c r="I10" s="167">
        <f>1-(1+EXP(2*(H10+IF(Introduction!D$12="45q15",'Model data'!$C$24,'Model data'!$C$27))))/(1+EXP(2*(H10+'Model data'!$C$33)))</f>
        <v>0.20334968526418007</v>
      </c>
      <c r="J10" s="75">
        <f>IF(S10&lt;S9,S10,NA())</f>
        <v>1977.6540279915262</v>
      </c>
      <c r="K10" s="76"/>
      <c r="L10" s="32" t="s">
        <v>4</v>
      </c>
      <c r="M10" s="33">
        <f t="shared" si="7"/>
        <v>27.5</v>
      </c>
      <c r="N10" s="34">
        <f t="shared" si="9"/>
        <v>0.85209999999999997</v>
      </c>
      <c r="O10" s="85">
        <f t="shared" si="2"/>
        <v>0.49074074074074076</v>
      </c>
      <c r="P10" s="34">
        <f t="shared" si="3"/>
        <v>0.18392930847462366</v>
      </c>
      <c r="Q10" s="33">
        <f t="shared" si="4"/>
        <v>13.75</v>
      </c>
      <c r="R10" s="35">
        <f t="shared" si="5"/>
        <v>11.220972008473925</v>
      </c>
      <c r="S10" s="77">
        <f t="shared" ref="S10:S14" si="10">Date_of_survey-R10</f>
        <v>1977.6540279915262</v>
      </c>
      <c r="T10" s="57"/>
      <c r="U10" s="96">
        <f t="shared" si="8"/>
        <v>30</v>
      </c>
      <c r="V10" s="34">
        <v>-0.25109999999999999</v>
      </c>
      <c r="W10" s="145">
        <v>8.8500000000000002E-3</v>
      </c>
      <c r="X10" s="34">
        <v>1.0219</v>
      </c>
      <c r="Y10" s="23"/>
      <c r="AK10" s="2"/>
      <c r="AL10" s="3"/>
      <c r="AM10" s="2"/>
      <c r="AP10" s="12"/>
      <c r="AQ10" s="11"/>
      <c r="AR10" s="8"/>
      <c r="AS10" s="8"/>
      <c r="AT10" s="9"/>
    </row>
    <row r="11" spans="1:46" ht="15.75">
      <c r="A11" s="32" t="s">
        <v>5</v>
      </c>
      <c r="B11" s="54"/>
      <c r="C11" s="54"/>
      <c r="D11" s="83">
        <v>0.77110000000000001</v>
      </c>
      <c r="E11" s="231">
        <f t="shared" si="6"/>
        <v>26</v>
      </c>
      <c r="F11" s="34">
        <f t="shared" si="0"/>
        <v>0.77062180000000002</v>
      </c>
      <c r="G11" s="85">
        <f>'Model data'!D33</f>
        <v>0.64850470999999998</v>
      </c>
      <c r="H11" s="167">
        <f>-0.5*LN(1+(F11/G11-1/'Model data'!D$26)/(1-F11))</f>
        <v>-6.0845196980116395E-2</v>
      </c>
      <c r="I11" s="167">
        <f>1-(1+EXP(2*(H11+IF(Introduction!D$12="45q15",'Model data'!$C$24,'Model data'!$C$27))))/(1+EXP(2*(H11+'Model data'!$C$33)))</f>
        <v>0.21827754793629561</v>
      </c>
      <c r="J11" s="75">
        <f>IF(S11&lt;S10,S11,NA())</f>
        <v>1976.2053836211403</v>
      </c>
      <c r="K11" s="76"/>
      <c r="L11" s="32" t="s">
        <v>5</v>
      </c>
      <c r="M11" s="33">
        <f t="shared" si="7"/>
        <v>32.5</v>
      </c>
      <c r="N11" s="34">
        <f t="shared" si="9"/>
        <v>0.77110000000000001</v>
      </c>
      <c r="O11" s="85">
        <f t="shared" si="2"/>
        <v>0.3981481481481482</v>
      </c>
      <c r="P11" s="34">
        <f t="shared" si="3"/>
        <v>0.22033129976247834</v>
      </c>
      <c r="Q11" s="33">
        <f t="shared" si="4"/>
        <v>16.25</v>
      </c>
      <c r="R11" s="35">
        <f t="shared" si="5"/>
        <v>12.669616378859727</v>
      </c>
      <c r="S11" s="77">
        <f t="shared" si="10"/>
        <v>1976.2053836211403</v>
      </c>
      <c r="T11" s="57"/>
      <c r="U11" s="96">
        <f t="shared" si="8"/>
        <v>35</v>
      </c>
      <c r="V11" s="34">
        <v>-0.3644</v>
      </c>
      <c r="W11" s="145">
        <v>1.2869999999999999E-2</v>
      </c>
      <c r="X11" s="34">
        <v>1.038</v>
      </c>
      <c r="Y11" s="23"/>
      <c r="AK11" s="2"/>
      <c r="AL11" s="3"/>
      <c r="AM11" s="11"/>
      <c r="AP11" s="12"/>
      <c r="AQ11" s="11"/>
      <c r="AR11" s="8"/>
      <c r="AS11" s="8"/>
      <c r="AT11" s="9"/>
    </row>
    <row r="12" spans="1:46" ht="15.75">
      <c r="A12" s="32" t="s">
        <v>6</v>
      </c>
      <c r="B12" s="54"/>
      <c r="C12" s="54"/>
      <c r="D12" s="83">
        <v>0.69340000000000002</v>
      </c>
      <c r="E12" s="231">
        <f t="shared" si="6"/>
        <v>26</v>
      </c>
      <c r="F12" s="34">
        <f t="shared" si="0"/>
        <v>0.69421301999999996</v>
      </c>
      <c r="G12" s="85">
        <f>'Model data'!D34</f>
        <v>0.56564091000000005</v>
      </c>
      <c r="H12" s="167">
        <f>-0.5*LN(1+(F12/G12-1/'Model data'!D$26)/(1-F12))</f>
        <v>-0.10130788896764525</v>
      </c>
      <c r="I12" s="167">
        <f>1-(1+EXP(2*(H12+IF(Introduction!D$12="45q15",'Model data'!$C$24,'Model data'!$C$27))))/(1+EXP(2*(H12+'Model data'!$C$33)))</f>
        <v>0.20651520959012915</v>
      </c>
      <c r="J12" s="75">
        <f>IF(S12&lt;S11,S12,NA())</f>
        <v>1975.2467213745408</v>
      </c>
      <c r="K12" s="76"/>
      <c r="L12" s="32" t="s">
        <v>6</v>
      </c>
      <c r="M12" s="33">
        <f t="shared" si="7"/>
        <v>37.5</v>
      </c>
      <c r="N12" s="34">
        <f t="shared" si="9"/>
        <v>0.69340000000000002</v>
      </c>
      <c r="O12" s="85">
        <f t="shared" si="2"/>
        <v>0.30555555555555558</v>
      </c>
      <c r="P12" s="34">
        <f t="shared" si="3"/>
        <v>0.2731584733088418</v>
      </c>
      <c r="Q12" s="33">
        <f t="shared" si="4"/>
        <v>18.75</v>
      </c>
      <c r="R12" s="35">
        <f t="shared" si="5"/>
        <v>13.628278625459217</v>
      </c>
      <c r="S12" s="77">
        <f t="shared" si="10"/>
        <v>1975.2467213745408</v>
      </c>
      <c r="T12" s="57"/>
      <c r="U12" s="96">
        <f t="shared" si="8"/>
        <v>40</v>
      </c>
      <c r="V12" s="34">
        <v>-0.5181</v>
      </c>
      <c r="W12" s="145">
        <v>1.7950000000000001E-2</v>
      </c>
      <c r="X12" s="34">
        <v>1.0752999999999999</v>
      </c>
      <c r="Y12" s="23"/>
      <c r="AK12" s="2"/>
      <c r="AL12" s="3"/>
      <c r="AM12" s="11"/>
      <c r="AP12" s="12"/>
      <c r="AQ12" s="11"/>
      <c r="AR12" s="8"/>
      <c r="AS12" s="8"/>
      <c r="AT12" s="9"/>
    </row>
    <row r="13" spans="1:46" ht="15.75">
      <c r="A13" s="32" t="s">
        <v>7</v>
      </c>
      <c r="B13" s="54"/>
      <c r="C13" s="54"/>
      <c r="D13" s="83">
        <v>0.53869999999999996</v>
      </c>
      <c r="E13" s="231">
        <f t="shared" si="6"/>
        <v>26</v>
      </c>
      <c r="F13" s="34">
        <f t="shared" si="0"/>
        <v>0.52835812000000004</v>
      </c>
      <c r="G13" s="85">
        <f>'Model data'!D35</f>
        <v>0.45948423000000005</v>
      </c>
      <c r="H13" s="167">
        <f>-0.5*LN(1+(F13/G13-1/'Model data'!D$26)/(1-F13))</f>
        <v>9.3407375733725873E-3</v>
      </c>
      <c r="I13" s="167">
        <f>1-(1+EXP(2*(H13+IF(Introduction!D$12="45q15",'Model data'!$C$24,'Model data'!$C$27))))/(1+EXP(2*(H13+'Model data'!$C$33)))</f>
        <v>0.23946950523641142</v>
      </c>
      <c r="J13" s="75">
        <f>IF(S13&lt;S12,S13,NA())</f>
        <v>1974.1986206467875</v>
      </c>
      <c r="K13" s="76"/>
      <c r="L13" s="32" t="s">
        <v>7</v>
      </c>
      <c r="M13" s="33">
        <f t="shared" si="7"/>
        <v>42.5</v>
      </c>
      <c r="N13" s="34">
        <f t="shared" si="9"/>
        <v>0.53869999999999996</v>
      </c>
      <c r="O13" s="85">
        <f t="shared" si="2"/>
        <v>0.21296296296296302</v>
      </c>
      <c r="P13" s="34">
        <f t="shared" si="3"/>
        <v>0.3093468539664736</v>
      </c>
      <c r="Q13" s="33">
        <f t="shared" si="4"/>
        <v>21.25</v>
      </c>
      <c r="R13" s="35">
        <f t="shared" si="5"/>
        <v>14.676379353212434</v>
      </c>
      <c r="S13" s="77">
        <f t="shared" si="10"/>
        <v>1974.1986206467875</v>
      </c>
      <c r="T13" s="57"/>
      <c r="U13" s="96">
        <f t="shared" si="8"/>
        <v>45</v>
      </c>
      <c r="V13" s="34">
        <v>-0.68799999999999994</v>
      </c>
      <c r="W13" s="145">
        <v>2.342E-2</v>
      </c>
      <c r="X13" s="34">
        <v>1.1275999999999999</v>
      </c>
      <c r="Y13" s="23"/>
      <c r="AK13" s="2"/>
      <c r="AL13" s="3"/>
      <c r="AM13" s="11"/>
      <c r="AP13" s="12"/>
      <c r="AQ13" s="11"/>
      <c r="AR13" s="8"/>
      <c r="AS13" s="8"/>
      <c r="AT13" s="9"/>
    </row>
    <row r="14" spans="1:46" ht="15.75">
      <c r="A14" s="37" t="s">
        <v>8</v>
      </c>
      <c r="B14" s="78"/>
      <c r="C14" s="78"/>
      <c r="D14" s="84">
        <v>0.37530000000000002</v>
      </c>
      <c r="E14" s="232">
        <f t="shared" si="6"/>
        <v>26</v>
      </c>
      <c r="F14" s="39">
        <f t="shared" si="0"/>
        <v>0.3403353400000001</v>
      </c>
      <c r="G14" s="39">
        <f>'Model data'!D36</f>
        <v>0.33550125999999997</v>
      </c>
      <c r="H14" s="79">
        <f>-0.5*LN(1+(F14/G14-1/'Model data'!D$26)/(1-F14))</f>
        <v>0.12334555763597022</v>
      </c>
      <c r="I14" s="79">
        <f>1-(1+EXP(2*(H14+IF(Introduction!D$12="45q15",'Model data'!$C$24,'Model data'!$C$27))))/(1+EXP(2*(H14+'Model data'!$C$33)))</f>
        <v>0.27567968855540725</v>
      </c>
      <c r="J14" s="80">
        <f>IF(S14&lt;S13,S14,NA())</f>
        <v>1974.1274556831704</v>
      </c>
      <c r="K14" s="76"/>
      <c r="L14" s="37" t="s">
        <v>8</v>
      </c>
      <c r="M14" s="38">
        <f t="shared" si="7"/>
        <v>47.5</v>
      </c>
      <c r="N14" s="39">
        <f t="shared" si="9"/>
        <v>0.37530000000000002</v>
      </c>
      <c r="O14" s="39">
        <f t="shared" si="2"/>
        <v>0.12037037037037043</v>
      </c>
      <c r="P14" s="39">
        <f t="shared" si="3"/>
        <v>0.37905076560717355</v>
      </c>
      <c r="Q14" s="38">
        <f t="shared" si="4"/>
        <v>23.75</v>
      </c>
      <c r="R14" s="40">
        <f t="shared" si="5"/>
        <v>14.747544316829629</v>
      </c>
      <c r="S14" s="41">
        <f t="shared" si="10"/>
        <v>1974.1274556831704</v>
      </c>
      <c r="T14" s="57"/>
      <c r="U14" s="37">
        <f t="shared" si="8"/>
        <v>50</v>
      </c>
      <c r="V14" s="39">
        <v>-0.8054</v>
      </c>
      <c r="W14" s="134">
        <v>2.7210000000000002E-2</v>
      </c>
      <c r="X14" s="39">
        <v>1.1677999999999999</v>
      </c>
      <c r="Y14" s="23"/>
      <c r="AK14" s="2"/>
      <c r="AL14" s="3"/>
      <c r="AM14" s="11"/>
      <c r="AP14" s="12"/>
      <c r="AQ14" s="11"/>
      <c r="AR14" s="8"/>
      <c r="AS14" s="8"/>
      <c r="AT14" s="9"/>
    </row>
    <row r="15" spans="1:46" ht="15.75">
      <c r="A15" s="24"/>
      <c r="B15" s="81"/>
      <c r="C15" s="57"/>
      <c r="D15" s="23"/>
      <c r="E15" s="23"/>
      <c r="F15" s="117"/>
      <c r="G15" s="23"/>
      <c r="H15" s="117"/>
      <c r="J15" s="101"/>
      <c r="K15" s="23"/>
      <c r="L15" s="57"/>
      <c r="M15" s="43"/>
      <c r="N15" s="44"/>
      <c r="O15" s="57"/>
      <c r="P15" s="45"/>
      <c r="Q15" s="46"/>
      <c r="R15" s="45"/>
      <c r="S15" s="45"/>
      <c r="T15" s="57"/>
      <c r="U15" s="48"/>
      <c r="V15" s="23"/>
      <c r="W15" s="23"/>
      <c r="X15" s="23"/>
      <c r="Y15" s="82"/>
      <c r="AK15" s="2"/>
      <c r="AL15" s="3"/>
      <c r="AM15" s="2"/>
      <c r="AP15" s="12"/>
      <c r="AQ15" s="11"/>
      <c r="AR15" s="8"/>
      <c r="AS15" s="8"/>
      <c r="AT15" s="9"/>
    </row>
    <row r="16" spans="1:46" ht="15.75">
      <c r="A16" s="261" t="s">
        <v>58</v>
      </c>
      <c r="B16" s="23"/>
      <c r="C16" s="23"/>
      <c r="D16" s="23"/>
      <c r="E16" s="23"/>
      <c r="F16" s="261" t="s">
        <v>159</v>
      </c>
      <c r="G16" s="261"/>
      <c r="J16" s="101"/>
      <c r="K16" s="23"/>
      <c r="L16" s="48"/>
      <c r="M16" s="48"/>
      <c r="N16" s="49"/>
      <c r="O16" s="48"/>
      <c r="P16" s="48"/>
      <c r="Q16" s="49"/>
      <c r="R16" s="112" t="s">
        <v>17</v>
      </c>
      <c r="S16" s="48">
        <f>S1</f>
        <v>1988.875</v>
      </c>
      <c r="T16" s="57"/>
      <c r="U16" s="59" t="s">
        <v>154</v>
      </c>
      <c r="V16" s="57"/>
      <c r="X16" s="57"/>
      <c r="Y16" s="23"/>
      <c r="AK16" s="2"/>
      <c r="AL16" s="3"/>
      <c r="AM16" s="11"/>
      <c r="AP16" s="12"/>
      <c r="AQ16" s="11"/>
      <c r="AR16" s="8"/>
      <c r="AS16" s="8"/>
      <c r="AT16" s="9"/>
    </row>
    <row r="17" spans="1:48" ht="16.5">
      <c r="A17" s="105"/>
      <c r="B17" s="254" t="s">
        <v>139</v>
      </c>
      <c r="C17" s="242"/>
      <c r="D17" s="242"/>
      <c r="E17" s="254" t="s">
        <v>140</v>
      </c>
      <c r="F17" s="105"/>
      <c r="G17" s="242"/>
      <c r="H17" s="242"/>
      <c r="I17" s="254" t="s">
        <v>137</v>
      </c>
      <c r="J17" s="105"/>
      <c r="L17" s="26" t="s">
        <v>0</v>
      </c>
      <c r="M17" s="26" t="s">
        <v>18</v>
      </c>
      <c r="N17" s="26" t="s">
        <v>19</v>
      </c>
      <c r="O17" s="26" t="s">
        <v>20</v>
      </c>
      <c r="P17" s="26" t="s">
        <v>21</v>
      </c>
      <c r="Q17" s="26" t="s">
        <v>22</v>
      </c>
      <c r="R17" s="26" t="s">
        <v>1</v>
      </c>
      <c r="S17" s="27"/>
      <c r="U17" s="104"/>
      <c r="V17" s="104"/>
      <c r="W17" s="104"/>
      <c r="X17" s="104"/>
      <c r="Y17" s="104"/>
      <c r="Z17" s="104"/>
      <c r="AI17" s="10"/>
      <c r="AJ17" s="10"/>
      <c r="AK17" s="10"/>
      <c r="AL17" s="10"/>
      <c r="AM17" s="2"/>
      <c r="AN17" s="3"/>
      <c r="AO17" s="2"/>
      <c r="AR17" s="12"/>
      <c r="AS17" s="11"/>
      <c r="AT17" s="8"/>
      <c r="AU17" s="8"/>
      <c r="AV17" s="9"/>
    </row>
    <row r="18" spans="1:48" ht="16.5" customHeight="1">
      <c r="A18" s="28" t="s">
        <v>0</v>
      </c>
      <c r="B18" s="255"/>
      <c r="C18" s="28" t="s">
        <v>42</v>
      </c>
      <c r="D18" s="28" t="s">
        <v>19</v>
      </c>
      <c r="E18" s="255"/>
      <c r="F18" s="240" t="s">
        <v>43</v>
      </c>
      <c r="G18" s="28" t="s">
        <v>20</v>
      </c>
      <c r="H18" s="28" t="s">
        <v>44</v>
      </c>
      <c r="I18" s="255"/>
      <c r="J18" s="241"/>
      <c r="L18" s="28" t="s">
        <v>23</v>
      </c>
      <c r="M18" s="28" t="s">
        <v>24</v>
      </c>
      <c r="N18" s="28" t="s">
        <v>25</v>
      </c>
      <c r="O18" s="28" t="s">
        <v>26</v>
      </c>
      <c r="P18" s="28" t="s">
        <v>27</v>
      </c>
      <c r="Q18" s="28" t="s">
        <v>28</v>
      </c>
      <c r="R18" s="28" t="s">
        <v>29</v>
      </c>
      <c r="S18" s="28" t="s">
        <v>13</v>
      </c>
      <c r="U18" s="66" t="s">
        <v>9</v>
      </c>
      <c r="V18" s="28" t="s">
        <v>36</v>
      </c>
      <c r="W18" s="28" t="s">
        <v>37</v>
      </c>
      <c r="X18" s="28" t="s">
        <v>38</v>
      </c>
      <c r="Y18" s="28" t="s">
        <v>39</v>
      </c>
      <c r="Z18" s="28" t="s">
        <v>40</v>
      </c>
      <c r="AK18" s="9"/>
      <c r="AL18" s="9"/>
      <c r="AM18" s="2"/>
      <c r="AN18" s="3"/>
      <c r="AO18" s="11"/>
      <c r="AR18" s="12"/>
      <c r="AS18" s="11"/>
      <c r="AT18" s="8"/>
      <c r="AU18" s="8"/>
      <c r="AV18" s="9"/>
    </row>
    <row r="19" spans="1:48" ht="18">
      <c r="A19" s="31" t="s">
        <v>23</v>
      </c>
      <c r="B19" s="256"/>
      <c r="C19" s="31" t="s">
        <v>88</v>
      </c>
      <c r="D19" s="31" t="s">
        <v>31</v>
      </c>
      <c r="E19" s="256"/>
      <c r="F19" s="61" t="s">
        <v>63</v>
      </c>
      <c r="G19" s="31" t="s">
        <v>47</v>
      </c>
      <c r="H19" s="62" t="s">
        <v>48</v>
      </c>
      <c r="I19" s="63" t="str">
        <f>Introduction!D$12</f>
        <v>30q30</v>
      </c>
      <c r="J19" s="64" t="s">
        <v>13</v>
      </c>
      <c r="L19" s="29"/>
      <c r="M19" s="30" t="s">
        <v>30</v>
      </c>
      <c r="N19" s="31" t="s">
        <v>31</v>
      </c>
      <c r="O19" s="30" t="s">
        <v>32</v>
      </c>
      <c r="P19" s="31" t="s">
        <v>33</v>
      </c>
      <c r="Q19" s="31" t="s">
        <v>34</v>
      </c>
      <c r="R19" s="30" t="s">
        <v>35</v>
      </c>
      <c r="S19" s="29"/>
      <c r="U19" s="95"/>
      <c r="V19" s="95"/>
      <c r="W19" s="95"/>
      <c r="X19" s="95"/>
      <c r="Y19" s="95"/>
      <c r="Z19" s="95"/>
      <c r="AC19" s="10"/>
      <c r="AD19" s="10"/>
      <c r="AE19" s="10"/>
      <c r="AF19" s="10"/>
      <c r="AG19" s="10"/>
      <c r="AH19" s="10"/>
      <c r="AI19" s="16"/>
      <c r="AJ19" s="16"/>
      <c r="AK19" s="16"/>
      <c r="AL19" s="7"/>
      <c r="AM19" s="2"/>
      <c r="AN19" s="3"/>
      <c r="AO19" s="2"/>
      <c r="AR19" s="12"/>
      <c r="AS19" s="11"/>
      <c r="AT19" s="8"/>
      <c r="AU19" s="8"/>
      <c r="AV19" s="9"/>
    </row>
    <row r="20" spans="1:48">
      <c r="A20" s="89"/>
      <c r="B20" s="100"/>
      <c r="C20" s="100"/>
      <c r="D20" s="89"/>
      <c r="E20" s="89"/>
      <c r="F20" s="89"/>
      <c r="G20" s="34"/>
      <c r="H20" s="89"/>
      <c r="I20" s="89"/>
      <c r="J20" s="90"/>
      <c r="L20" s="50"/>
      <c r="M20" s="50"/>
      <c r="N20" s="50"/>
      <c r="O20" s="50"/>
      <c r="P20" s="50"/>
      <c r="Q20" s="50"/>
      <c r="R20" s="50"/>
      <c r="S20" s="50"/>
      <c r="U20" s="104"/>
      <c r="V20" s="89"/>
      <c r="W20" s="89"/>
      <c r="X20" s="89"/>
      <c r="Y20" s="89"/>
      <c r="Z20" s="89"/>
      <c r="AI20" s="16"/>
      <c r="AJ20" s="16"/>
      <c r="AK20" s="16"/>
      <c r="AL20" s="7"/>
      <c r="AM20" s="2"/>
      <c r="AN20" s="3"/>
      <c r="AO20" s="11"/>
      <c r="AS20" s="11"/>
      <c r="AT20" s="8"/>
      <c r="AU20" s="8"/>
      <c r="AV20" s="9"/>
    </row>
    <row r="21" spans="1:48">
      <c r="A21" s="91" t="s">
        <v>4</v>
      </c>
      <c r="B21" s="54"/>
      <c r="C21" s="54"/>
      <c r="D21" s="83">
        <v>0.93530000000000002</v>
      </c>
      <c r="E21" s="231">
        <f>AVERAGE(E35:E36)</f>
        <v>19.7</v>
      </c>
      <c r="F21" s="92">
        <f>IF(D22&gt;0,V21+W21*AVERAGE(E10,E11)+X21*E21+Y21*D21+Z21*D22,NA())</f>
        <v>0.88554246999999975</v>
      </c>
      <c r="G21" s="34">
        <f>'Model data'!D32</f>
        <v>0.71020634999999999</v>
      </c>
      <c r="H21" s="74">
        <f>-0.5*LN(1+(F21/G21-1/'Model data'!$D$30)/(1-F21))</f>
        <v>0.10177657257743536</v>
      </c>
      <c r="I21" s="167">
        <f>1-(1+EXP(2*(H21+IF(Introduction!D$12="45q15",'Model data'!$C$24,'Model data'!$C$27))))/(1+EXP(2*(H21+'Model data'!$C$33)))</f>
        <v>0.2686863970982335</v>
      </c>
      <c r="J21" s="75">
        <f>S21</f>
        <v>1984.1421087585404</v>
      </c>
      <c r="L21" s="32" t="s">
        <v>4</v>
      </c>
      <c r="M21" s="36">
        <f>AVERAGE(M10:M11)-E21</f>
        <v>10.3</v>
      </c>
      <c r="N21" s="34">
        <f>SQRT(D21*D22)</f>
        <v>0.89215486323844029</v>
      </c>
      <c r="O21" s="34">
        <f>(1-(AVERAGE(M10:M11)+E10)/80)/(1-(E10+E21)/80)</f>
        <v>0.69970845481049582</v>
      </c>
      <c r="P21" s="34">
        <f>LN(N21/O21)/3</f>
        <v>8.0991991949583703E-2</v>
      </c>
      <c r="Q21" s="33">
        <f>M21/2</f>
        <v>5.15</v>
      </c>
      <c r="R21" s="35">
        <f>Q21*(1-P21)</f>
        <v>4.7328912414596438</v>
      </c>
      <c r="S21" s="36">
        <f>$S$16-R21</f>
        <v>1984.1421087585404</v>
      </c>
      <c r="U21" s="32">
        <v>30</v>
      </c>
      <c r="V21" s="34">
        <v>0.56169999999999998</v>
      </c>
      <c r="W21" s="145">
        <v>8.3599999999999994E-3</v>
      </c>
      <c r="X21" s="145">
        <f>-0.00261</f>
        <v>-2.6099999999999999E-3</v>
      </c>
      <c r="Y21" s="34">
        <f>-1.1231</f>
        <v>-1.1231</v>
      </c>
      <c r="Z21" s="34">
        <v>1.4198999999999999</v>
      </c>
      <c r="AC21" s="16"/>
      <c r="AD21" s="16"/>
      <c r="AE21" s="16"/>
      <c r="AF21" s="16"/>
      <c r="AG21" s="16"/>
      <c r="AH21" s="16"/>
      <c r="AI21" s="16"/>
      <c r="AJ21" s="16"/>
      <c r="AK21" s="16"/>
      <c r="AL21" s="7"/>
      <c r="AM21" s="2"/>
      <c r="AN21" s="3"/>
      <c r="AO21" s="6"/>
      <c r="AP21" s="9"/>
      <c r="AS21" s="11"/>
      <c r="AT21" s="8"/>
      <c r="AU21" s="8"/>
      <c r="AV21" s="9"/>
    </row>
    <row r="22" spans="1:48">
      <c r="A22" s="91" t="s">
        <v>5</v>
      </c>
      <c r="B22" s="54"/>
      <c r="C22" s="54"/>
      <c r="D22" s="83">
        <v>0.85099999999999998</v>
      </c>
      <c r="E22" s="231">
        <f t="shared" ref="E22:E24" si="11">AVERAGE(E36:E37)</f>
        <v>18.95</v>
      </c>
      <c r="F22" s="92">
        <f t="shared" ref="F22" si="12">IF(D23&gt;0,V22+W22*AVERAGE(E11,E12)+X22*E22+Y22*D22+Z22*D23,NA())</f>
        <v>0.85510370000000002</v>
      </c>
      <c r="G22" s="34">
        <f>'Model data'!D33</f>
        <v>0.64850470999999998</v>
      </c>
      <c r="H22" s="74">
        <f>-0.5*LN(1+(F22/G22-1/'Model data'!$D$30)/(1-F22))</f>
        <v>-0.14980488352764876</v>
      </c>
      <c r="I22" s="167">
        <f>1-(1+EXP(2*(H22+IF(Introduction!D$12="45q15",'Model data'!$C$24,'Model data'!$C$27))))/(1+EXP(2*(H22+'Model data'!$C$33)))</f>
        <v>0.19289592969216385</v>
      </c>
      <c r="J22" s="75">
        <f t="shared" ref="J22:J24" si="13">S22</f>
        <v>1981.9304224675386</v>
      </c>
      <c r="L22" s="32" t="s">
        <v>5</v>
      </c>
      <c r="M22" s="36">
        <f t="shared" ref="M22:M24" si="14">AVERAGE(M11:M12)-E22</f>
        <v>16.05</v>
      </c>
      <c r="N22" s="34">
        <f t="shared" ref="N22:N24" si="15">SQRT(D22*D23)</f>
        <v>0.81184943185297598</v>
      </c>
      <c r="O22" s="34">
        <f t="shared" ref="O22:O24" si="16">(1-(AVERAGE(M11:M12)+E11)/80)/(1-(E11+E22)/80)</f>
        <v>0.54208273894436532</v>
      </c>
      <c r="P22" s="34">
        <f t="shared" ref="P22:P25" si="17">LN(N22/O22)/3</f>
        <v>0.13463208318239001</v>
      </c>
      <c r="Q22" s="33">
        <f t="shared" ref="Q22:Q25" si="18">M22/2</f>
        <v>8.0250000000000004</v>
      </c>
      <c r="R22" s="35">
        <f t="shared" ref="R22:R25" si="19">Q22*(1-P22)</f>
        <v>6.944577532461321</v>
      </c>
      <c r="S22" s="36">
        <f t="shared" ref="S22:S25" si="20">$S$16-R22</f>
        <v>1981.9304224675386</v>
      </c>
      <c r="U22" s="32">
        <v>35</v>
      </c>
      <c r="V22" s="34">
        <v>4.7600000000000003E-2</v>
      </c>
      <c r="W22" s="145">
        <v>1.396E-2</v>
      </c>
      <c r="X22" s="145">
        <f>-0.00536</f>
        <v>-5.3600000000000002E-3</v>
      </c>
      <c r="Y22" s="34">
        <f>-0.3916</f>
        <v>-0.3916</v>
      </c>
      <c r="Z22" s="34">
        <v>1.1354</v>
      </c>
      <c r="AC22" s="16"/>
      <c r="AD22" s="16"/>
      <c r="AE22" s="16"/>
      <c r="AF22" s="16"/>
      <c r="AG22" s="16"/>
      <c r="AH22" s="16"/>
      <c r="AI22" s="16"/>
      <c r="AJ22" s="16"/>
      <c r="AK22" s="16"/>
      <c r="AL22" s="7"/>
      <c r="AM22" s="2"/>
      <c r="AN22" s="3"/>
      <c r="AO22" s="6"/>
      <c r="AS22" s="11"/>
      <c r="AT22" s="8"/>
      <c r="AU22" s="8"/>
      <c r="AV22" s="9"/>
    </row>
    <row r="23" spans="1:48">
      <c r="A23" s="91" t="s">
        <v>6</v>
      </c>
      <c r="B23" s="54"/>
      <c r="C23" s="54"/>
      <c r="D23" s="83">
        <v>0.77449999999999997</v>
      </c>
      <c r="E23" s="231">
        <f t="shared" si="11"/>
        <v>18.25</v>
      </c>
      <c r="F23" s="92">
        <f>IF(D24&gt;0,V23+W23*AVERAGE(E12,E13)+X23*E23+Y23*D23+Z23*D24,NA())</f>
        <v>0.74430273999999996</v>
      </c>
      <c r="G23" s="34">
        <f>'Model data'!D34</f>
        <v>0.56564091000000005</v>
      </c>
      <c r="H23" s="74">
        <f>-0.5*LN(1+(F23/G23-1/'Model data'!$D$30)/(1-F23))</f>
        <v>-8.5848656980464427E-2</v>
      </c>
      <c r="I23" s="167">
        <f>1-(1+EXP(2*(H23+IF(Introduction!D$12="45q15",'Model data'!$C$24,'Model data'!$C$27))))/(1+EXP(2*(H23+'Model data'!$C$33)))</f>
        <v>0.21096757831429547</v>
      </c>
      <c r="J23" s="75">
        <f t="shared" si="13"/>
        <v>1980.0405260229038</v>
      </c>
      <c r="L23" s="32" t="s">
        <v>6</v>
      </c>
      <c r="M23" s="36">
        <f t="shared" si="14"/>
        <v>21.75</v>
      </c>
      <c r="N23" s="34">
        <f t="shared" si="15"/>
        <v>0.68757166899167688</v>
      </c>
      <c r="O23" s="34">
        <f t="shared" si="16"/>
        <v>0.39160839160839167</v>
      </c>
      <c r="P23" s="34">
        <f t="shared" si="17"/>
        <v>0.18763457681873541</v>
      </c>
      <c r="Q23" s="33">
        <f t="shared" si="18"/>
        <v>10.875</v>
      </c>
      <c r="R23" s="35">
        <f t="shared" si="19"/>
        <v>8.8344739770962519</v>
      </c>
      <c r="S23" s="36">
        <f t="shared" si="20"/>
        <v>1980.0405260229038</v>
      </c>
      <c r="U23" s="32">
        <v>40</v>
      </c>
      <c r="V23" s="34">
        <f>-0.3715</f>
        <v>-0.3715</v>
      </c>
      <c r="W23" s="145">
        <v>1.966E-2</v>
      </c>
      <c r="X23" s="145">
        <f>-0.00744</f>
        <v>-7.4400000000000004E-3</v>
      </c>
      <c r="Y23" s="34">
        <v>0.53939999999999999</v>
      </c>
      <c r="Z23" s="34">
        <v>0.52859999999999996</v>
      </c>
      <c r="AC23" s="16"/>
      <c r="AD23" s="16"/>
      <c r="AE23" s="16"/>
      <c r="AF23" s="16"/>
      <c r="AG23" s="16"/>
      <c r="AH23" s="16"/>
      <c r="AI23" s="7"/>
      <c r="AJ23" s="7"/>
      <c r="AK23" s="7"/>
      <c r="AL23" s="7"/>
      <c r="AM23" s="2"/>
      <c r="AN23" s="3"/>
      <c r="AO23" s="6"/>
      <c r="AS23" s="11"/>
      <c r="AT23" s="8"/>
      <c r="AU23" s="8"/>
      <c r="AV23" s="9"/>
    </row>
    <row r="24" spans="1:48">
      <c r="A24" s="91" t="s">
        <v>7</v>
      </c>
      <c r="B24" s="54"/>
      <c r="C24" s="54"/>
      <c r="D24" s="83">
        <v>0.61040000000000005</v>
      </c>
      <c r="E24" s="231">
        <f t="shared" si="11"/>
        <v>17.75</v>
      </c>
      <c r="F24" s="92">
        <f>IF(D25&gt;0,V24+W24*AVERAGE(E13,E14)+X24*E24+Y24*D24+Z24*D25,NA())</f>
        <v>0.59185792000000015</v>
      </c>
      <c r="G24" s="34">
        <f>'Model data'!D35</f>
        <v>0.45948423000000005</v>
      </c>
      <c r="H24" s="74">
        <f>-0.5*LN(1+(F24/G24-1/'Model data'!$D$30)/(1-F24))</f>
        <v>-2.4073280420757164E-2</v>
      </c>
      <c r="I24" s="167">
        <f>1-(1+EXP(2*(H24+IF(Introduction!D$12="45q15",'Model data'!$C$24,'Model data'!$C$27))))/(1+EXP(2*(H24+'Model data'!$C$33)))</f>
        <v>0.2292618300313688</v>
      </c>
      <c r="J24" s="75">
        <f t="shared" si="13"/>
        <v>1978.6127819180838</v>
      </c>
      <c r="L24" s="32" t="s">
        <v>7</v>
      </c>
      <c r="M24" s="36">
        <f t="shared" si="14"/>
        <v>27.25</v>
      </c>
      <c r="N24" s="34">
        <f t="shared" si="15"/>
        <v>0.52059350745087096</v>
      </c>
      <c r="O24" s="34">
        <f t="shared" si="16"/>
        <v>0.24827586206896562</v>
      </c>
      <c r="P24" s="34">
        <f t="shared" si="17"/>
        <v>0.24680968206118767</v>
      </c>
      <c r="Q24" s="33">
        <f t="shared" si="18"/>
        <v>13.625</v>
      </c>
      <c r="R24" s="35">
        <f t="shared" si="19"/>
        <v>10.262218081916318</v>
      </c>
      <c r="S24" s="36">
        <f t="shared" si="20"/>
        <v>1978.6127819180838</v>
      </c>
      <c r="U24" s="32">
        <v>45</v>
      </c>
      <c r="V24" s="34">
        <f>-0.6562</f>
        <v>-0.65620000000000001</v>
      </c>
      <c r="W24" s="145">
        <v>2.5870000000000001E-2</v>
      </c>
      <c r="X24" s="145">
        <f>-0.00716</f>
        <v>-7.1599999999999997E-3</v>
      </c>
      <c r="Y24" s="34">
        <v>1.0207999999999999</v>
      </c>
      <c r="Z24" s="34">
        <v>0.1789</v>
      </c>
      <c r="AC24" s="16"/>
      <c r="AD24" s="16"/>
      <c r="AE24" s="16"/>
      <c r="AF24" s="16"/>
      <c r="AG24" s="16"/>
      <c r="AH24" s="16"/>
      <c r="AK24" s="9"/>
      <c r="AL24" s="9"/>
      <c r="AM24" s="2"/>
      <c r="AN24" s="3"/>
      <c r="AO24" s="6"/>
      <c r="AS24" s="11"/>
      <c r="AT24" s="8"/>
      <c r="AU24" s="8"/>
      <c r="AV24" s="9"/>
    </row>
    <row r="25" spans="1:48">
      <c r="A25" s="91" t="s">
        <v>8</v>
      </c>
      <c r="B25" s="54"/>
      <c r="C25" s="54"/>
      <c r="D25" s="83">
        <v>0.44400000000000001</v>
      </c>
      <c r="E25" s="231">
        <f>AVERAGE(E39:E40)</f>
        <v>17.25</v>
      </c>
      <c r="F25" s="92" t="e">
        <f>IF(D26&gt;0,V25+W25*E14+X25*E25+Y25*D25+Z25*D26,NA())</f>
        <v>#N/A</v>
      </c>
      <c r="G25" s="34">
        <f>'Model data'!D36</f>
        <v>0.33550125999999997</v>
      </c>
      <c r="H25" s="74" t="e">
        <f>-0.5*LN(1+(F25/G25-1/'Model data'!$D$30)/(1-F25))</f>
        <v>#N/A</v>
      </c>
      <c r="I25" s="167" t="e">
        <f>1-(1+EXP(2*(H25+IF(Introduction!D$12="45q15",'Model data'!$C$24,'Model data'!$C$27))))/(1+EXP(2*(H25+'Model data'!$C$33)))</f>
        <v>#N/A</v>
      </c>
      <c r="J25" s="75" t="e">
        <f>S25</f>
        <v>#N/A</v>
      </c>
      <c r="L25" s="96" t="s">
        <v>8</v>
      </c>
      <c r="M25" s="36" t="e">
        <f>IF(D26&gt;0,50-E25,NA())</f>
        <v>#N/A</v>
      </c>
      <c r="N25" s="34" t="e">
        <f>IF(D26&gt;0,SQRT(D25*D26),NA())</f>
        <v>#N/A</v>
      </c>
      <c r="O25" s="34">
        <f>(1-(50+E14)/80)/(1-(E14+E25)/80)</f>
        <v>0.10884353741496609</v>
      </c>
      <c r="P25" s="34" t="e">
        <f t="shared" si="17"/>
        <v>#N/A</v>
      </c>
      <c r="Q25" s="33" t="e">
        <f t="shared" si="18"/>
        <v>#N/A</v>
      </c>
      <c r="R25" s="35" t="e">
        <f t="shared" si="19"/>
        <v>#N/A</v>
      </c>
      <c r="S25" s="36" t="e">
        <f t="shared" si="20"/>
        <v>#N/A</v>
      </c>
      <c r="U25" s="32">
        <v>50</v>
      </c>
      <c r="V25" s="34">
        <f>-0.8341</f>
        <v>-0.83409999999999995</v>
      </c>
      <c r="W25" s="145">
        <v>3.0450000000000001E-2</v>
      </c>
      <c r="X25" s="145">
        <f>-0.00561</f>
        <v>-5.6100000000000004E-3</v>
      </c>
      <c r="Y25" s="34">
        <v>1.1898</v>
      </c>
      <c r="Z25" s="34">
        <v>5.4100000000000002E-2</v>
      </c>
      <c r="AC25" s="7"/>
      <c r="AD25" s="7"/>
      <c r="AE25" s="7"/>
      <c r="AF25" s="7"/>
      <c r="AG25" s="7"/>
      <c r="AH25" s="7"/>
      <c r="AK25" s="9"/>
      <c r="AL25" s="9"/>
      <c r="AM25" s="2"/>
      <c r="AN25" s="3"/>
      <c r="AO25" s="3"/>
      <c r="AS25" s="11"/>
      <c r="AT25" s="8"/>
      <c r="AU25" s="8"/>
      <c r="AV25" s="9"/>
    </row>
    <row r="26" spans="1:48">
      <c r="A26" s="93" t="s">
        <v>10</v>
      </c>
      <c r="B26" s="78"/>
      <c r="C26" s="78"/>
      <c r="D26" s="84"/>
      <c r="E26" s="228"/>
      <c r="F26" s="94"/>
      <c r="G26" s="94"/>
      <c r="H26" s="94"/>
      <c r="I26" s="94"/>
      <c r="J26" s="94"/>
      <c r="L26" s="95"/>
      <c r="M26" s="95"/>
      <c r="N26" s="95"/>
      <c r="O26" s="95"/>
      <c r="P26" s="95"/>
      <c r="Q26" s="95"/>
      <c r="R26" s="95"/>
      <c r="S26" s="95"/>
      <c r="U26" s="95"/>
      <c r="V26" s="94"/>
      <c r="W26" s="94"/>
      <c r="X26" s="94"/>
      <c r="Y26" s="94"/>
      <c r="Z26" s="94"/>
      <c r="AK26" s="9"/>
      <c r="AL26" s="9"/>
      <c r="AM26" s="2"/>
      <c r="AN26" s="3"/>
      <c r="AO26" s="3"/>
      <c r="AS26" s="11"/>
      <c r="AT26" s="8"/>
      <c r="AU26" s="8"/>
      <c r="AV26" s="9"/>
    </row>
    <row r="27" spans="1:48" ht="15.75">
      <c r="G27" s="4" t="s">
        <v>11</v>
      </c>
      <c r="H27" s="74">
        <f>AVERAGEA(H22:H24)</f>
        <v>-8.6575606976290118E-2</v>
      </c>
      <c r="I27" s="167">
        <f>1-(1+EXP(2*(H27+IF(Introduction!D$12="45q15",'Model data'!$C$24,'Model data'!$C$27))))/(1+EXP(2*(H27+'Model data'!$C$33)))</f>
        <v>0.21075704423994701</v>
      </c>
      <c r="J27" s="75">
        <f>AVERAGEA(J22:J24)</f>
        <v>1980.194576802842</v>
      </c>
      <c r="L27" s="42"/>
      <c r="M27" s="43"/>
      <c r="N27" s="44"/>
      <c r="O27" s="42"/>
      <c r="P27" s="45"/>
      <c r="Q27" s="46"/>
      <c r="R27" s="45"/>
      <c r="S27" s="47"/>
      <c r="AK27" s="9"/>
      <c r="AL27" s="9"/>
      <c r="AM27" s="2"/>
      <c r="AN27" s="3"/>
      <c r="AO27" s="3"/>
      <c r="AS27" s="11"/>
      <c r="AT27" s="8"/>
      <c r="AU27" s="8"/>
      <c r="AV27" s="9"/>
    </row>
    <row r="28" spans="1:48">
      <c r="G28" s="4" t="s">
        <v>12</v>
      </c>
      <c r="H28" s="74">
        <f>AVERAGEA(H22:H23)</f>
        <v>-0.11782677025405659</v>
      </c>
      <c r="I28" s="167">
        <f>1-(1+EXP(2*(H28+IF(Introduction!D$12="45q15",'Model data'!$C$24,'Model data'!$C$27))))/(1+EXP(2*(H28+'Model data'!$C$33)))</f>
        <v>0.20181611342801142</v>
      </c>
      <c r="J28" s="75">
        <f>AVERAGEA(J22:J23)</f>
        <v>1980.9854742452212</v>
      </c>
      <c r="L28" s="9"/>
      <c r="M28" s="9"/>
      <c r="N28" s="49"/>
      <c r="O28" s="48"/>
      <c r="P28" s="48"/>
      <c r="Q28" s="49"/>
      <c r="AK28" s="9"/>
      <c r="AL28" s="9"/>
      <c r="AM28" s="2"/>
      <c r="AN28" s="3"/>
      <c r="AO28" s="3"/>
      <c r="AS28" s="11"/>
      <c r="AT28" s="8"/>
      <c r="AU28" s="8"/>
      <c r="AV28" s="9"/>
    </row>
    <row r="29" spans="1:48">
      <c r="G29" s="4"/>
      <c r="H29" s="4"/>
      <c r="I29" s="4"/>
      <c r="J29" s="4"/>
      <c r="L29" s="9"/>
      <c r="M29" s="9"/>
      <c r="N29" s="49"/>
      <c r="O29" s="48"/>
      <c r="P29" s="48"/>
      <c r="Q29" s="49"/>
      <c r="AK29" s="9"/>
      <c r="AL29" s="9"/>
      <c r="AM29" s="2"/>
      <c r="AN29" s="3"/>
      <c r="AO29" s="3"/>
      <c r="AS29" s="11"/>
      <c r="AT29" s="8"/>
      <c r="AU29" s="8"/>
      <c r="AV29" s="9"/>
    </row>
    <row r="30" spans="1:48">
      <c r="A30" s="261" t="s">
        <v>58</v>
      </c>
      <c r="B30" s="23"/>
      <c r="C30" s="23"/>
      <c r="D30" s="23"/>
      <c r="E30" s="23"/>
      <c r="F30" s="261" t="s">
        <v>160</v>
      </c>
      <c r="G30" s="261"/>
      <c r="H30" s="4"/>
      <c r="I30" s="4"/>
      <c r="J30" s="102"/>
      <c r="L30" s="48"/>
      <c r="M30" s="48"/>
      <c r="N30" s="49"/>
      <c r="O30" s="48"/>
      <c r="P30" s="48"/>
      <c r="Q30" s="49"/>
      <c r="R30" s="112" t="s">
        <v>17</v>
      </c>
      <c r="S30" s="48">
        <f>S1</f>
        <v>1988.875</v>
      </c>
      <c r="U30" s="59" t="s">
        <v>154</v>
      </c>
      <c r="AK30" s="9"/>
      <c r="AL30" s="2"/>
      <c r="AM30" s="3"/>
      <c r="AN30" s="3"/>
    </row>
    <row r="31" spans="1:48" ht="16.5" customHeight="1">
      <c r="A31" s="105"/>
      <c r="B31" s="105"/>
      <c r="C31" s="254" t="s">
        <v>139</v>
      </c>
      <c r="D31" s="105"/>
      <c r="E31" s="254" t="s">
        <v>140</v>
      </c>
      <c r="F31" s="105"/>
      <c r="G31" s="105"/>
      <c r="H31" s="105"/>
      <c r="I31" s="254" t="s">
        <v>137</v>
      </c>
      <c r="J31" s="105"/>
      <c r="K31" s="102"/>
      <c r="L31" s="26" t="s">
        <v>0</v>
      </c>
      <c r="M31" s="26" t="s">
        <v>18</v>
      </c>
      <c r="N31" s="26" t="s">
        <v>19</v>
      </c>
      <c r="O31" s="26" t="s">
        <v>20</v>
      </c>
      <c r="P31" s="26" t="s">
        <v>21</v>
      </c>
      <c r="Q31" s="26" t="s">
        <v>22</v>
      </c>
      <c r="R31" s="26" t="s">
        <v>1</v>
      </c>
      <c r="S31" s="27"/>
      <c r="U31" s="104"/>
      <c r="V31" s="104"/>
      <c r="W31" s="104"/>
      <c r="X31" s="104"/>
      <c r="Y31" s="104"/>
      <c r="Z31" s="104"/>
      <c r="AK31" s="9"/>
      <c r="AL31" s="2"/>
      <c r="AM31" s="3"/>
      <c r="AN31" s="3"/>
    </row>
    <row r="32" spans="1:48" ht="16.5" customHeight="1">
      <c r="A32" s="28" t="s">
        <v>0</v>
      </c>
      <c r="B32" s="28" t="s">
        <v>41</v>
      </c>
      <c r="C32" s="255"/>
      <c r="D32" s="28" t="s">
        <v>19</v>
      </c>
      <c r="E32" s="255"/>
      <c r="F32" s="240" t="s">
        <v>59</v>
      </c>
      <c r="G32" s="28" t="s">
        <v>20</v>
      </c>
      <c r="H32" s="28" t="s">
        <v>44</v>
      </c>
      <c r="I32" s="255"/>
      <c r="J32" s="241"/>
      <c r="K32" s="102"/>
      <c r="L32" s="28" t="s">
        <v>23</v>
      </c>
      <c r="M32" s="28" t="s">
        <v>24</v>
      </c>
      <c r="N32" s="28" t="s">
        <v>25</v>
      </c>
      <c r="O32" s="28" t="s">
        <v>26</v>
      </c>
      <c r="P32" s="28" t="s">
        <v>27</v>
      </c>
      <c r="Q32" s="28" t="s">
        <v>28</v>
      </c>
      <c r="R32" s="28" t="s">
        <v>29</v>
      </c>
      <c r="S32" s="28" t="s">
        <v>13</v>
      </c>
      <c r="U32" s="66" t="s">
        <v>9</v>
      </c>
      <c r="V32" s="28" t="s">
        <v>36</v>
      </c>
      <c r="W32" s="28" t="s">
        <v>37</v>
      </c>
      <c r="X32" s="28" t="s">
        <v>38</v>
      </c>
      <c r="Y32" s="28" t="s">
        <v>39</v>
      </c>
      <c r="Z32" s="28" t="s">
        <v>40</v>
      </c>
      <c r="AK32" s="9"/>
      <c r="AL32" s="2"/>
      <c r="AM32" s="3"/>
      <c r="AN32" s="3"/>
    </row>
    <row r="33" spans="1:40" ht="18">
      <c r="A33" s="31" t="s">
        <v>23</v>
      </c>
      <c r="B33" s="31" t="s">
        <v>45</v>
      </c>
      <c r="C33" s="256"/>
      <c r="D33" s="31" t="s">
        <v>31</v>
      </c>
      <c r="E33" s="256"/>
      <c r="F33" s="61" t="s">
        <v>64</v>
      </c>
      <c r="G33" s="31" t="s">
        <v>51</v>
      </c>
      <c r="H33" s="62" t="s">
        <v>48</v>
      </c>
      <c r="I33" s="63" t="str">
        <f>Introduction!D$12</f>
        <v>30q30</v>
      </c>
      <c r="J33" s="64" t="s">
        <v>13</v>
      </c>
      <c r="K33" s="106"/>
      <c r="L33" s="29"/>
      <c r="M33" s="30" t="s">
        <v>30</v>
      </c>
      <c r="N33" s="31" t="s">
        <v>31</v>
      </c>
      <c r="O33" s="30" t="s">
        <v>32</v>
      </c>
      <c r="P33" s="31" t="s">
        <v>33</v>
      </c>
      <c r="Q33" s="31" t="s">
        <v>34</v>
      </c>
      <c r="R33" s="30" t="s">
        <v>35</v>
      </c>
      <c r="S33" s="29"/>
      <c r="U33" s="95"/>
      <c r="V33" s="95"/>
      <c r="W33" s="95"/>
      <c r="X33" s="95"/>
      <c r="Y33" s="95"/>
      <c r="Z33" s="95"/>
      <c r="AK33" s="9"/>
      <c r="AL33" s="2"/>
      <c r="AM33" s="3"/>
      <c r="AN33" s="3"/>
    </row>
    <row r="34" spans="1:40">
      <c r="A34" s="100"/>
      <c r="B34" s="100"/>
      <c r="C34" s="100"/>
      <c r="D34" s="100"/>
      <c r="E34" s="100"/>
      <c r="F34" s="100"/>
      <c r="G34" s="85"/>
      <c r="H34" s="100"/>
      <c r="I34" s="100"/>
      <c r="J34" s="99"/>
      <c r="K34" s="102"/>
      <c r="L34" s="113"/>
      <c r="M34" s="113"/>
      <c r="N34" s="105"/>
      <c r="O34" s="105"/>
      <c r="P34" s="104"/>
      <c r="Q34" s="104"/>
      <c r="R34" s="104"/>
      <c r="S34" s="104"/>
      <c r="U34" s="104"/>
      <c r="V34" s="89"/>
      <c r="W34" s="89"/>
      <c r="X34" s="89"/>
      <c r="Y34" s="89"/>
      <c r="Z34" s="89"/>
      <c r="AK34" s="9"/>
      <c r="AL34" s="2"/>
      <c r="AM34" s="3"/>
      <c r="AN34" s="3"/>
    </row>
    <row r="35" spans="1:40">
      <c r="A35" s="107" t="s">
        <v>4</v>
      </c>
      <c r="B35" s="54"/>
      <c r="C35" s="54"/>
      <c r="D35" s="83">
        <v>0.91100000000000003</v>
      </c>
      <c r="E35" s="88">
        <v>20</v>
      </c>
      <c r="F35" s="109">
        <f t="shared" ref="F35:F38" si="21">IF(D35&gt;0,V35+W35*E10+X35*E35+Y35*E35*D35+Z35*D35,0)</f>
        <v>0.91537560000000007</v>
      </c>
      <c r="G35" s="85">
        <f>'Model data'!$D$30</f>
        <v>0.78866807999999999</v>
      </c>
      <c r="H35" s="74">
        <f>-0.5*LN(1+(F35/G35-1/'Model data'!$D$26)/(1-F35))</f>
        <v>-1.1893223214234827E-2</v>
      </c>
      <c r="I35" s="167">
        <f>1-(1+EXP(2*(H35+IF(Introduction!D$12="45q15",'Model data'!$C$24,'Model data'!$C$27))))/(1+EXP(2*(H35+'Model data'!$C$33)))</f>
        <v>0.23295864576056857</v>
      </c>
      <c r="J35" s="75">
        <f>S35</f>
        <v>1972.6063704674198</v>
      </c>
      <c r="K35" s="102"/>
      <c r="L35" s="96" t="s">
        <v>4</v>
      </c>
      <c r="M35" s="108">
        <v>27.5</v>
      </c>
      <c r="N35" s="100">
        <f>D35</f>
        <v>0.91100000000000003</v>
      </c>
      <c r="O35" s="114">
        <f>(80-E35-E9)/(80-E9)</f>
        <v>0.62962962962962965</v>
      </c>
      <c r="P35" s="85">
        <f>LN(N35/O35)/3</f>
        <v>0.1231370467419781</v>
      </c>
      <c r="Q35" s="77">
        <f t="shared" ref="Q35:Q40" si="22">E35/2</f>
        <v>10</v>
      </c>
      <c r="R35" s="98">
        <f>(M35-E35)+Q35*(1-P35)</f>
        <v>16.268629532580221</v>
      </c>
      <c r="S35" s="77">
        <f>$S$16-R35</f>
        <v>1972.6063704674198</v>
      </c>
      <c r="U35" s="251">
        <v>30</v>
      </c>
      <c r="V35" s="34">
        <f>-0.9607</f>
        <v>-0.9607</v>
      </c>
      <c r="W35" s="145">
        <v>4.1799999999999997E-3</v>
      </c>
      <c r="X35" s="145">
        <v>4.4659999999999998E-2</v>
      </c>
      <c r="Y35" s="145">
        <f>-0.04291</f>
        <v>-4.2909999999999997E-2</v>
      </c>
      <c r="Z35" s="34">
        <v>1.8178000000000001</v>
      </c>
      <c r="AK35" s="9"/>
      <c r="AL35" s="2"/>
      <c r="AM35" s="3"/>
      <c r="AN35" s="3"/>
    </row>
    <row r="36" spans="1:40">
      <c r="A36" s="107" t="s">
        <v>5</v>
      </c>
      <c r="B36" s="54"/>
      <c r="C36" s="54"/>
      <c r="D36" s="83">
        <v>0.90610000000000002</v>
      </c>
      <c r="E36" s="88">
        <v>19.399999999999999</v>
      </c>
      <c r="F36" s="109">
        <f t="shared" si="21"/>
        <v>0.90979999659999999</v>
      </c>
      <c r="G36" s="85">
        <f>'Model data'!$D$30</f>
        <v>0.78866807999999999</v>
      </c>
      <c r="H36" s="74">
        <f>-0.5*LN(1+(F36/G36-1/'Model data'!$D$26)/(1-F36))</f>
        <v>2.8705348577714226E-2</v>
      </c>
      <c r="I36" s="167">
        <f>1-(1+EXP(2*(H36+IF(Introduction!D$12="45q15",'Model data'!$C$24,'Model data'!$C$27))))/(1+EXP(2*(H36+'Model data'!$C$33)))</f>
        <v>0.24547724719653885</v>
      </c>
      <c r="J36" s="75">
        <f t="shared" ref="J36:J39" si="23">S36</f>
        <v>1967.195430059747</v>
      </c>
      <c r="L36" s="96" t="s">
        <v>5</v>
      </c>
      <c r="M36" s="108">
        <v>32.5</v>
      </c>
      <c r="N36" s="100">
        <f t="shared" ref="N36:N39" si="24">D36</f>
        <v>0.90610000000000002</v>
      </c>
      <c r="O36" s="114">
        <f>(80-E36-E10)/(80-E10)</f>
        <v>0.64074074074074072</v>
      </c>
      <c r="P36" s="85">
        <f t="shared" ref="P36:P38" si="25">LN(N36/O36)/3</f>
        <v>0.1155082535821579</v>
      </c>
      <c r="Q36" s="77">
        <f t="shared" si="22"/>
        <v>9.6999999999999993</v>
      </c>
      <c r="R36" s="98">
        <f>(M36-E36)+Q36*(1-P36)</f>
        <v>21.679569940253067</v>
      </c>
      <c r="S36" s="77">
        <f>$S$16-R36</f>
        <v>1967.195430059747</v>
      </c>
      <c r="U36" s="251">
        <v>35</v>
      </c>
      <c r="V36" s="34">
        <f>-0.9921</f>
        <v>-0.99209999999999998</v>
      </c>
      <c r="W36" s="145">
        <v>4.2900000000000004E-3</v>
      </c>
      <c r="X36" s="145">
        <v>4.7E-2</v>
      </c>
      <c r="Y36" s="145">
        <f>-0.04501</f>
        <v>-4.5010000000000001E-2</v>
      </c>
      <c r="Z36" s="34">
        <v>1.8428</v>
      </c>
      <c r="AK36" s="9"/>
      <c r="AL36" s="2"/>
      <c r="AM36" s="3"/>
      <c r="AN36" s="3"/>
    </row>
    <row r="37" spans="1:40">
      <c r="A37" s="107" t="s">
        <v>6</v>
      </c>
      <c r="B37" s="54"/>
      <c r="C37" s="54"/>
      <c r="D37" s="83">
        <v>0.89529999999999998</v>
      </c>
      <c r="E37" s="88">
        <v>18.5</v>
      </c>
      <c r="F37" s="109">
        <f>IF(D37&gt;0,V37+W37*E12+X37*E37+Y37*E37*D37+Z37*D37,0)</f>
        <v>0.89392247450000006</v>
      </c>
      <c r="G37" s="85">
        <f>'Model data'!$D$30</f>
        <v>0.78866807999999999</v>
      </c>
      <c r="H37" s="74">
        <f>-0.5*LN(1+(F37/G37-1/'Model data'!$D$26)/(1-F37))</f>
        <v>0.13539875164870288</v>
      </c>
      <c r="I37" s="167">
        <f>1-(1+EXP(2*(H37+IF(Introduction!D$12="45q15",'Model data'!$C$24,'Model data'!$C$27))))/(1+EXP(2*(H37+'Model data'!$C$33)))</f>
        <v>0.27961191918972339</v>
      </c>
      <c r="J37" s="75">
        <f t="shared" si="23"/>
        <v>1961.5773026969509</v>
      </c>
      <c r="L37" s="96" t="s">
        <v>6</v>
      </c>
      <c r="M37" s="108">
        <v>37.5</v>
      </c>
      <c r="N37" s="100">
        <f t="shared" si="24"/>
        <v>0.89529999999999998</v>
      </c>
      <c r="O37" s="114">
        <f>(80-E37-E11)/(80-E11)</f>
        <v>0.65740740740740744</v>
      </c>
      <c r="P37" s="85">
        <f t="shared" si="25"/>
        <v>0.10295164291362581</v>
      </c>
      <c r="Q37" s="77">
        <f t="shared" si="22"/>
        <v>9.25</v>
      </c>
      <c r="R37" s="98">
        <f>(M37-E37)+Q37*(1-P37)</f>
        <v>27.297697303048963</v>
      </c>
      <c r="S37" s="77">
        <f>$S$16-R37</f>
        <v>1961.5773026969509</v>
      </c>
      <c r="U37" s="251">
        <v>40</v>
      </c>
      <c r="V37" s="34">
        <f>-1.01289</f>
        <v>-1.0128900000000001</v>
      </c>
      <c r="W37" s="145">
        <v>4.3299999999999996E-3</v>
      </c>
      <c r="X37" s="145">
        <v>4.8219999999999999E-2</v>
      </c>
      <c r="Y37" s="145">
        <f>-0.04611</f>
        <v>-4.6109999999999998E-2</v>
      </c>
      <c r="Z37" s="34">
        <v>1.8607</v>
      </c>
      <c r="AK37" s="9"/>
      <c r="AL37" s="2"/>
      <c r="AM37" s="3"/>
      <c r="AN37" s="3"/>
    </row>
    <row r="38" spans="1:40">
      <c r="A38" s="107" t="s">
        <v>7</v>
      </c>
      <c r="B38" s="54"/>
      <c r="C38" s="54"/>
      <c r="D38" s="83">
        <v>0.88249999999999995</v>
      </c>
      <c r="E38" s="88">
        <v>18</v>
      </c>
      <c r="F38" s="109">
        <f t="shared" si="21"/>
        <v>0.87739520000000004</v>
      </c>
      <c r="G38" s="85">
        <f>'Model data'!$D$30</f>
        <v>0.78866807999999999</v>
      </c>
      <c r="H38" s="74">
        <f>-0.5*LN(1+(F38/G38-1/'Model data'!$D$26)/(1-F38))</f>
        <v>0.23594101853730107</v>
      </c>
      <c r="I38" s="167">
        <f>1-(1+EXP(2*(H38+IF(Introduction!D$12="45q15",'Model data'!$C$24,'Model data'!$C$27))))/(1+EXP(2*(H38+'Model data'!$C$33)))</f>
        <v>0.31293595128574803</v>
      </c>
      <c r="J38" s="75">
        <f t="shared" si="23"/>
        <v>1956.2164058538006</v>
      </c>
      <c r="L38" s="96" t="s">
        <v>7</v>
      </c>
      <c r="M38" s="108">
        <v>42.5</v>
      </c>
      <c r="N38" s="100">
        <f t="shared" si="24"/>
        <v>0.88249999999999995</v>
      </c>
      <c r="O38" s="114">
        <f>(80-E38-E12)/(80-E12)</f>
        <v>0.66666666666666663</v>
      </c>
      <c r="P38" s="85">
        <f t="shared" si="25"/>
        <v>9.3489539311159719E-2</v>
      </c>
      <c r="Q38" s="77">
        <f t="shared" si="22"/>
        <v>9</v>
      </c>
      <c r="R38" s="98">
        <f>(M38-E38)+Q38*(1-P38)</f>
        <v>32.658594146199562</v>
      </c>
      <c r="S38" s="77">
        <f>$S$16-R38</f>
        <v>1956.2164058538006</v>
      </c>
      <c r="U38" s="251">
        <v>45</v>
      </c>
      <c r="V38" s="34">
        <f>-1.0206</f>
        <v>-1.0206</v>
      </c>
      <c r="W38" s="145">
        <v>4.3400000000000001E-3</v>
      </c>
      <c r="X38" s="145">
        <v>4.861E-2</v>
      </c>
      <c r="Y38" s="145">
        <f>-0.04648</f>
        <v>-4.648E-2</v>
      </c>
      <c r="Z38" s="34">
        <v>1.8680000000000001</v>
      </c>
      <c r="AK38" s="9"/>
      <c r="AL38" s="2"/>
      <c r="AM38" s="3"/>
      <c r="AN38" s="3"/>
    </row>
    <row r="39" spans="1:40">
      <c r="A39" s="107" t="s">
        <v>8</v>
      </c>
      <c r="B39" s="54"/>
      <c r="C39" s="54"/>
      <c r="D39" s="83">
        <v>0.84530000000000005</v>
      </c>
      <c r="E39" s="88">
        <v>17.5</v>
      </c>
      <c r="F39" s="109">
        <f>IF(D39&gt;0,V39+W39*E14+X39*E39+Y39*E39*D39+Z39*D39,0)</f>
        <v>0.83436838000000013</v>
      </c>
      <c r="G39" s="85">
        <f>'Model data'!$D$30</f>
        <v>0.78866807999999999</v>
      </c>
      <c r="H39" s="74">
        <f>-0.5*LN(1+(F39/G39-1/'Model data'!$D$26)/(1-F39))</f>
        <v>0.46803797862677199</v>
      </c>
      <c r="I39" s="167">
        <f>1-(1+EXP(2*(H39+IF(Introduction!D$12="45q15",'Model data'!$C$24,'Model data'!$C$27))))/(1+EXP(2*(H39+'Model data'!$C$33)))</f>
        <v>0.39054025557221328</v>
      </c>
      <c r="J39" s="75">
        <f t="shared" si="23"/>
        <v>1950.777190294375</v>
      </c>
      <c r="L39" s="96" t="s">
        <v>8</v>
      </c>
      <c r="M39" s="108">
        <v>47.5</v>
      </c>
      <c r="N39" s="100">
        <f t="shared" si="24"/>
        <v>0.84530000000000005</v>
      </c>
      <c r="O39" s="114">
        <f>(80-E39-E13)/(80-E13)</f>
        <v>0.67592592592592593</v>
      </c>
      <c r="P39" s="85">
        <f t="shared" ref="P39" si="26">LN(N39/O39)/3</f>
        <v>7.4536033642857852E-2</v>
      </c>
      <c r="Q39" s="77">
        <f t="shared" si="22"/>
        <v>8.75</v>
      </c>
      <c r="R39" s="98">
        <f>(M39-E39)+Q39*(1-P39)</f>
        <v>38.097809705624996</v>
      </c>
      <c r="S39" s="77">
        <f>$S$16-R39</f>
        <v>1950.777190294375</v>
      </c>
      <c r="U39" s="251">
        <v>50</v>
      </c>
      <c r="V39" s="34">
        <f>-1.0206</f>
        <v>-1.0206</v>
      </c>
      <c r="W39" s="145">
        <v>4.3400000000000001E-3</v>
      </c>
      <c r="X39" s="145">
        <v>4.861E-2</v>
      </c>
      <c r="Y39" s="145">
        <f>-0.04648</f>
        <v>-4.648E-2</v>
      </c>
      <c r="Z39" s="34">
        <v>1.8680000000000001</v>
      </c>
      <c r="AK39" s="9"/>
      <c r="AL39" s="2"/>
      <c r="AM39" s="3"/>
      <c r="AN39" s="3"/>
    </row>
    <row r="40" spans="1:40">
      <c r="A40" s="230" t="s">
        <v>10</v>
      </c>
      <c r="B40" s="94"/>
      <c r="C40" s="94"/>
      <c r="D40" s="94"/>
      <c r="E40" s="229">
        <v>17</v>
      </c>
      <c r="F40" s="110"/>
      <c r="G40" s="111"/>
      <c r="H40" s="111"/>
      <c r="I40" s="94"/>
      <c r="J40" s="94"/>
      <c r="K40" s="21"/>
      <c r="L40" s="115"/>
      <c r="M40" s="115"/>
      <c r="N40" s="115"/>
      <c r="O40" s="116"/>
      <c r="P40" s="95"/>
      <c r="Q40" s="95">
        <f t="shared" si="22"/>
        <v>8.5</v>
      </c>
      <c r="R40" s="95"/>
      <c r="S40" s="94"/>
      <c r="U40" s="95"/>
      <c r="V40" s="94"/>
      <c r="W40" s="94"/>
      <c r="X40" s="94"/>
      <c r="Y40" s="94"/>
      <c r="Z40" s="94"/>
      <c r="AK40" s="9"/>
      <c r="AL40" s="2"/>
      <c r="AM40" s="3"/>
      <c r="AN40" s="3"/>
    </row>
    <row r="41" spans="1:40">
      <c r="A41" s="86"/>
      <c r="B41" s="86"/>
      <c r="C41" s="86"/>
      <c r="D41" s="86"/>
      <c r="E41" s="86"/>
      <c r="F41" s="86"/>
      <c r="G41" s="23"/>
      <c r="H41" s="23"/>
      <c r="I41" s="86"/>
      <c r="J41" s="103"/>
      <c r="K41" s="86"/>
      <c r="L41" s="86"/>
      <c r="R41" s="1"/>
      <c r="AK41" s="2"/>
      <c r="AL41" s="3"/>
      <c r="AM41" s="3"/>
    </row>
    <row r="42" spans="1:40" ht="15.75">
      <c r="A42" s="22" t="s">
        <v>89</v>
      </c>
      <c r="B42" s="201"/>
      <c r="C42" s="201"/>
      <c r="D42" s="5"/>
      <c r="E42" s="5"/>
      <c r="K42" s="5"/>
      <c r="L42" s="5"/>
      <c r="R42" s="1"/>
      <c r="AK42" s="2"/>
      <c r="AL42" s="3"/>
      <c r="AM42" s="3"/>
    </row>
    <row r="43" spans="1:40" ht="13.9" customHeight="1">
      <c r="B43" s="25"/>
      <c r="C43" s="24" t="s">
        <v>90</v>
      </c>
      <c r="D43" s="25" t="s">
        <v>91</v>
      </c>
      <c r="E43" s="25"/>
      <c r="K43" s="87"/>
      <c r="L43" s="87"/>
      <c r="AK43" s="2"/>
      <c r="AL43" s="3"/>
      <c r="AM43" s="3"/>
    </row>
    <row r="44" spans="1:40" ht="13.9" customHeight="1">
      <c r="B44" s="26" t="s">
        <v>92</v>
      </c>
      <c r="C44" s="26" t="s">
        <v>22</v>
      </c>
      <c r="D44" s="202"/>
      <c r="E44" s="203"/>
      <c r="K44" s="87"/>
      <c r="L44" s="87"/>
      <c r="AK44" s="2"/>
      <c r="AL44" s="3"/>
      <c r="AM44" s="3"/>
    </row>
    <row r="45" spans="1:40" ht="16.5">
      <c r="B45" s="69" t="s">
        <v>93</v>
      </c>
      <c r="C45" s="28" t="s">
        <v>24</v>
      </c>
      <c r="D45" s="203"/>
      <c r="E45" s="203"/>
      <c r="K45" s="5"/>
      <c r="L45" s="5"/>
      <c r="AK45" s="2"/>
      <c r="AL45" s="3"/>
      <c r="AM45" s="3"/>
    </row>
    <row r="46" spans="1:40" ht="16.5">
      <c r="B46" s="31" t="s">
        <v>94</v>
      </c>
      <c r="C46" s="30" t="s">
        <v>30</v>
      </c>
      <c r="D46" s="31" t="s">
        <v>95</v>
      </c>
      <c r="E46" s="28"/>
      <c r="K46" s="5"/>
      <c r="L46" s="5"/>
      <c r="M46" s="5"/>
      <c r="N46" s="5"/>
      <c r="AK46" s="2"/>
      <c r="AL46" s="3"/>
      <c r="AM46" s="3"/>
    </row>
    <row r="47" spans="1:40">
      <c r="B47" s="51"/>
      <c r="C47" s="32">
        <f>IF(D43="Age at interview",17,17.5)</f>
        <v>17</v>
      </c>
      <c r="D47" s="204">
        <f>B47*C47</f>
        <v>0</v>
      </c>
      <c r="E47" s="204"/>
      <c r="K47" s="5"/>
      <c r="L47" s="5"/>
      <c r="M47" s="5"/>
      <c r="N47" s="5"/>
      <c r="AK47" s="2"/>
      <c r="AL47" s="3"/>
      <c r="AM47" s="3"/>
    </row>
    <row r="48" spans="1:40">
      <c r="B48" s="51"/>
      <c r="C48" s="32">
        <f>C47+5</f>
        <v>22</v>
      </c>
      <c r="D48" s="204">
        <f t="shared" ref="D48:D53" si="27">B48*C48</f>
        <v>0</v>
      </c>
      <c r="E48" s="204"/>
      <c r="K48" s="5"/>
      <c r="L48" s="5"/>
      <c r="M48" s="5"/>
      <c r="N48" s="5"/>
      <c r="AK48" s="2"/>
      <c r="AL48" s="3"/>
      <c r="AM48" s="3"/>
    </row>
    <row r="49" spans="1:39">
      <c r="B49" s="51"/>
      <c r="C49" s="32">
        <f t="shared" ref="C49:C53" si="28">C48+5</f>
        <v>27</v>
      </c>
      <c r="D49" s="204">
        <f t="shared" si="27"/>
        <v>0</v>
      </c>
      <c r="E49" s="204"/>
      <c r="K49" s="5"/>
      <c r="L49" s="5"/>
      <c r="M49" s="5"/>
      <c r="N49" s="5"/>
      <c r="AK49" s="2"/>
      <c r="AL49" s="3"/>
      <c r="AM49" s="3"/>
    </row>
    <row r="50" spans="1:39">
      <c r="B50" s="51"/>
      <c r="C50" s="32">
        <f t="shared" si="28"/>
        <v>32</v>
      </c>
      <c r="D50" s="204">
        <f t="shared" si="27"/>
        <v>0</v>
      </c>
      <c r="E50" s="204"/>
      <c r="K50" s="5"/>
      <c r="L50" s="5"/>
      <c r="M50" s="5"/>
      <c r="N50" s="5"/>
      <c r="AK50" s="2"/>
      <c r="AL50" s="3"/>
      <c r="AM50" s="3"/>
    </row>
    <row r="51" spans="1:39">
      <c r="B51" s="51"/>
      <c r="C51" s="32">
        <f t="shared" si="28"/>
        <v>37</v>
      </c>
      <c r="D51" s="204">
        <f t="shared" si="27"/>
        <v>0</v>
      </c>
      <c r="E51" s="204"/>
      <c r="K51" s="5"/>
      <c r="L51" s="5"/>
      <c r="M51" s="5"/>
      <c r="N51" s="5"/>
      <c r="AK51" s="2"/>
      <c r="AL51" s="3"/>
      <c r="AM51" s="3"/>
    </row>
    <row r="52" spans="1:39">
      <c r="B52" s="51"/>
      <c r="C52" s="32">
        <f t="shared" si="28"/>
        <v>42</v>
      </c>
      <c r="D52" s="204">
        <f t="shared" si="27"/>
        <v>0</v>
      </c>
      <c r="E52" s="204"/>
      <c r="K52" s="5"/>
      <c r="L52" s="5"/>
      <c r="M52" s="5"/>
      <c r="N52" s="5"/>
      <c r="AK52" s="2"/>
      <c r="AL52" s="3"/>
      <c r="AM52" s="3"/>
    </row>
    <row r="53" spans="1:39">
      <c r="B53" s="51"/>
      <c r="C53" s="32">
        <f t="shared" si="28"/>
        <v>47</v>
      </c>
      <c r="D53" s="204">
        <f t="shared" si="27"/>
        <v>0</v>
      </c>
      <c r="E53" s="204"/>
      <c r="K53" s="5"/>
      <c r="L53" s="5"/>
      <c r="M53" s="5"/>
      <c r="N53" s="5"/>
      <c r="AK53" s="2"/>
      <c r="AL53" s="3"/>
      <c r="AM53" s="3"/>
    </row>
    <row r="54" spans="1:39">
      <c r="B54" s="205">
        <f>SUM(B47:B53)</f>
        <v>0</v>
      </c>
      <c r="C54" s="38"/>
      <c r="D54" s="205">
        <f>SUM(D47:D53)</f>
        <v>0</v>
      </c>
      <c r="E54" s="227"/>
      <c r="K54" s="5"/>
      <c r="L54" s="5"/>
      <c r="M54" s="5"/>
      <c r="N54" s="5"/>
    </row>
    <row r="55" spans="1:39" ht="15.75" thickBot="1">
      <c r="A55" s="206"/>
      <c r="B55" s="207"/>
      <c r="C55" s="207"/>
      <c r="K55" s="5"/>
      <c r="L55" s="5"/>
      <c r="M55" s="5"/>
      <c r="N55" s="5"/>
    </row>
    <row r="56" spans="1:39" ht="16.5" thickBot="1">
      <c r="A56" s="201"/>
      <c r="B56" s="208" t="s">
        <v>96</v>
      </c>
      <c r="C56" s="209">
        <v>26</v>
      </c>
      <c r="K56" s="5"/>
      <c r="L56" s="5"/>
      <c r="M56" s="5"/>
      <c r="N56" s="5"/>
    </row>
    <row r="57" spans="1:39">
      <c r="K57" s="5"/>
      <c r="L57" s="5"/>
      <c r="M57" s="5"/>
      <c r="N57" s="5"/>
    </row>
    <row r="58" spans="1:39">
      <c r="K58" s="5"/>
      <c r="L58" s="5"/>
      <c r="M58" s="5"/>
      <c r="N58" s="5"/>
    </row>
    <row r="59" spans="1:39">
      <c r="K59" s="5"/>
      <c r="L59" s="5"/>
      <c r="M59" s="5"/>
      <c r="N59" s="5"/>
    </row>
    <row r="60" spans="1:39">
      <c r="K60" s="5"/>
      <c r="L60" s="5"/>
      <c r="M60" s="5"/>
      <c r="N60" s="5"/>
    </row>
    <row r="61" spans="1:39">
      <c r="K61" s="5"/>
      <c r="L61" s="5"/>
      <c r="M61" s="5"/>
      <c r="N61" s="5"/>
    </row>
    <row r="62" spans="1:39">
      <c r="F62" s="17"/>
      <c r="G62" s="19"/>
      <c r="H62" s="18"/>
      <c r="I62" s="18"/>
      <c r="J62" s="18"/>
      <c r="K62" s="5"/>
      <c r="L62" s="5"/>
      <c r="M62" s="5"/>
      <c r="N62" s="5"/>
    </row>
    <row r="63" spans="1:39">
      <c r="F63" s="17"/>
      <c r="G63" s="19"/>
      <c r="H63" s="18"/>
      <c r="I63" s="18"/>
      <c r="J63" s="18"/>
      <c r="K63" s="5"/>
      <c r="L63" s="5"/>
      <c r="M63" s="5"/>
      <c r="N63" s="5"/>
    </row>
    <row r="64" spans="1:39">
      <c r="F64" s="17"/>
      <c r="G64" s="19"/>
      <c r="H64" s="18"/>
      <c r="I64" s="18"/>
      <c r="J64" s="18"/>
      <c r="K64" s="5"/>
      <c r="L64" s="5"/>
      <c r="M64" s="5"/>
      <c r="N64" s="5"/>
    </row>
    <row r="65" spans="6:14">
      <c r="F65" s="17"/>
      <c r="G65" s="17"/>
      <c r="H65" s="17"/>
      <c r="I65" s="18"/>
      <c r="J65" s="18"/>
      <c r="K65" s="5"/>
      <c r="L65" s="5"/>
      <c r="M65" s="5"/>
      <c r="N65" s="5"/>
    </row>
    <row r="66" spans="6:14">
      <c r="F66" s="20"/>
      <c r="G66" s="17"/>
      <c r="H66" s="17"/>
      <c r="I66" s="18"/>
      <c r="J66" s="18"/>
      <c r="K66" s="5"/>
      <c r="L66" s="5"/>
      <c r="M66" s="5"/>
      <c r="N66" s="5"/>
    </row>
  </sheetData>
  <sheetProtection sheet="1" objects="1" scenarios="1"/>
  <mergeCells count="8">
    <mergeCell ref="B17:B19"/>
    <mergeCell ref="C31:C33"/>
    <mergeCell ref="I17:I18"/>
    <mergeCell ref="I2:I3"/>
    <mergeCell ref="E2:E4"/>
    <mergeCell ref="E17:E19"/>
    <mergeCell ref="E31:E33"/>
    <mergeCell ref="I31:I32"/>
  </mergeCells>
  <dataValidations disablePrompts="1" count="2">
    <dataValidation type="decimal" operator="greaterThanOrEqual" allowBlank="1" showInputMessage="1" showErrorMessage="1" sqref="B47:B53 E26 B21:D26 B6:D14 B35:D39">
      <formula1>0</formula1>
    </dataValidation>
    <dataValidation type="list" allowBlank="1" showInputMessage="1" showErrorMessage="1" sqref="D43:E43">
      <formula1>"age at interview,age at birth"</formula1>
    </dataValidation>
  </dataValidations>
  <pageMargins left="0.59055118110236227" right="0.59055118110236227" top="0.98425196850393704" bottom="0.98425196850393704" header="0.51181102362204722" footer="0.51181102362204722"/>
  <pageSetup paperSize="9" scale="95" orientation="portrait" r:id="rId1"/>
  <headerFooter alignWithMargins="0">
    <oddHeader>&amp;L&amp;"+,Bold"&amp;13Tools for Demographic Estimation&amp;R&amp;"+,Bold"&amp;13Orphanhood before &amp;&amp; since 1st marriage</oddHeader>
    <oddFooter>&amp;L&amp;"+,Regular"&amp;12&amp;F&amp;R&amp;"+,Regular"&amp;12&amp;D  &amp;T</oddFooter>
  </headerFooter>
  <rowBreaks count="1" manualBreakCount="1">
    <brk id="40" max="16383" man="1"/>
  </rowBreaks>
  <colBreaks count="3" manualBreakCount="3">
    <brk id="10" max="1048575" man="1"/>
    <brk id="19" max="1048575" man="1"/>
    <brk id="36" max="1048575" man="1"/>
  </colBreaks>
  <ignoredErrors>
    <ignoredError sqref="P6 R6:S6 J6" evalError="1"/>
  </ignoredErrors>
</worksheet>
</file>

<file path=xl/worksheets/sheet4.xml><?xml version="1.0" encoding="utf-8"?>
<worksheet xmlns="http://schemas.openxmlformats.org/spreadsheetml/2006/main" xmlns:r="http://schemas.openxmlformats.org/officeDocument/2006/relationships">
  <sheetPr codeName="Sheet3">
    <tabColor theme="4" tint="0.59999389629810485"/>
  </sheetPr>
  <dimension ref="A1:BG114"/>
  <sheetViews>
    <sheetView workbookViewId="0"/>
  </sheetViews>
  <sheetFormatPr defaultRowHeight="12"/>
  <cols>
    <col min="1" max="1" width="6.125" style="118" customWidth="1"/>
    <col min="2" max="2" width="10.375" style="118" customWidth="1"/>
    <col min="3" max="4" width="9.125" style="118" customWidth="1"/>
    <col min="5" max="5" width="8.125" style="118" customWidth="1"/>
    <col min="6" max="9" width="8.625" style="118" customWidth="1"/>
    <col min="10" max="10" width="10.375" style="118" customWidth="1"/>
    <col min="11" max="11" width="3.125" style="118" customWidth="1"/>
    <col min="12" max="12" width="7.375" style="118" customWidth="1"/>
    <col min="13" max="13" width="7.625" style="118" customWidth="1"/>
    <col min="14" max="15" width="8.75" style="118" customWidth="1"/>
    <col min="16" max="16" width="11.25" style="118" customWidth="1"/>
    <col min="17" max="17" width="9.25" style="118" customWidth="1"/>
    <col min="18" max="19" width="7.625" style="118" customWidth="1"/>
    <col min="20" max="20" width="2.625" style="118" customWidth="1"/>
    <col min="21" max="21" width="9" style="118"/>
    <col min="22" max="22" width="11" style="118" customWidth="1"/>
    <col min="23" max="16384" width="9" style="118"/>
  </cols>
  <sheetData>
    <row r="1" spans="1:59" ht="15" customHeight="1">
      <c r="A1" s="261" t="s">
        <v>58</v>
      </c>
      <c r="B1" s="23"/>
      <c r="C1" s="23"/>
      <c r="D1" s="23"/>
      <c r="E1" s="23"/>
      <c r="F1" s="261" t="str">
        <f>Introduction!D10</f>
        <v>Egypt</v>
      </c>
      <c r="G1" s="261" t="s">
        <v>157</v>
      </c>
      <c r="I1" s="24" t="s">
        <v>17</v>
      </c>
      <c r="J1" s="168">
        <f>Introduction!D13</f>
        <v>32462</v>
      </c>
      <c r="K1" s="56"/>
      <c r="L1" s="22" t="s">
        <v>52</v>
      </c>
      <c r="M1" s="23"/>
      <c r="N1" s="23"/>
      <c r="O1" s="23"/>
      <c r="P1" s="23"/>
      <c r="Q1" s="23"/>
      <c r="R1" s="112" t="s">
        <v>17</v>
      </c>
      <c r="S1" s="25">
        <f>Date_of_survey</f>
        <v>1988.875</v>
      </c>
      <c r="U1" s="59" t="s">
        <v>135</v>
      </c>
      <c r="V1" s="23"/>
      <c r="W1" s="23"/>
      <c r="Y1" s="126"/>
      <c r="Z1" s="220"/>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row>
    <row r="2" spans="1:59" ht="15.75" customHeight="1">
      <c r="A2" s="243"/>
      <c r="B2" s="242"/>
      <c r="C2" s="242"/>
      <c r="D2" s="242"/>
      <c r="E2" s="254" t="s">
        <v>138</v>
      </c>
      <c r="F2" s="242"/>
      <c r="G2" s="242"/>
      <c r="H2" s="242"/>
      <c r="I2" s="254" t="s">
        <v>137</v>
      </c>
      <c r="J2" s="243"/>
      <c r="K2" s="58"/>
      <c r="L2" s="26" t="s">
        <v>0</v>
      </c>
      <c r="M2" s="26" t="s">
        <v>18</v>
      </c>
      <c r="N2" s="26" t="s">
        <v>19</v>
      </c>
      <c r="O2" s="26" t="s">
        <v>20</v>
      </c>
      <c r="P2" s="26" t="s">
        <v>21</v>
      </c>
      <c r="Q2" s="26" t="s">
        <v>22</v>
      </c>
      <c r="R2" s="26" t="s">
        <v>1</v>
      </c>
      <c r="S2" s="27"/>
      <c r="U2" s="27"/>
      <c r="V2" s="27"/>
      <c r="W2" s="27"/>
      <c r="X2" s="27"/>
      <c r="Y2" s="27"/>
      <c r="Z2" s="220"/>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row>
    <row r="3" spans="1:59" ht="15.75" customHeight="1">
      <c r="A3" s="28" t="s">
        <v>0</v>
      </c>
      <c r="B3" s="28" t="s">
        <v>41</v>
      </c>
      <c r="C3" s="28" t="s">
        <v>76</v>
      </c>
      <c r="D3" s="28" t="s">
        <v>19</v>
      </c>
      <c r="E3" s="255"/>
      <c r="F3" s="240" t="s">
        <v>53</v>
      </c>
      <c r="G3" s="28" t="s">
        <v>20</v>
      </c>
      <c r="H3" s="28" t="s">
        <v>44</v>
      </c>
      <c r="I3" s="255"/>
      <c r="J3" s="241"/>
      <c r="K3" s="58"/>
      <c r="L3" s="28" t="s">
        <v>23</v>
      </c>
      <c r="M3" s="28" t="s">
        <v>24</v>
      </c>
      <c r="N3" s="28" t="s">
        <v>25</v>
      </c>
      <c r="O3" s="28" t="s">
        <v>26</v>
      </c>
      <c r="P3" s="28" t="s">
        <v>27</v>
      </c>
      <c r="Q3" s="28" t="s">
        <v>28</v>
      </c>
      <c r="R3" s="28" t="s">
        <v>29</v>
      </c>
      <c r="S3" s="28" t="s">
        <v>13</v>
      </c>
      <c r="U3" s="233"/>
      <c r="V3" s="233"/>
      <c r="W3" s="233"/>
      <c r="X3" s="233"/>
      <c r="Y3" s="233"/>
      <c r="Z3" s="220"/>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row>
    <row r="4" spans="1:59" ht="15.75" customHeight="1">
      <c r="A4" s="31" t="s">
        <v>23</v>
      </c>
      <c r="B4" s="31" t="s">
        <v>45</v>
      </c>
      <c r="C4" s="31" t="s">
        <v>88</v>
      </c>
      <c r="D4" s="31" t="s">
        <v>31</v>
      </c>
      <c r="E4" s="256"/>
      <c r="F4" s="63" t="s">
        <v>54</v>
      </c>
      <c r="G4" s="31" t="s">
        <v>55</v>
      </c>
      <c r="H4" s="119" t="s">
        <v>48</v>
      </c>
      <c r="I4" s="63" t="str">
        <f>Introduction!D$12</f>
        <v>30q30</v>
      </c>
      <c r="J4" s="64" t="s">
        <v>13</v>
      </c>
      <c r="K4" s="65"/>
      <c r="L4" s="120"/>
      <c r="M4" s="30" t="s">
        <v>30</v>
      </c>
      <c r="N4" s="31" t="s">
        <v>31</v>
      </c>
      <c r="O4" s="30" t="s">
        <v>32</v>
      </c>
      <c r="P4" s="31" t="s">
        <v>33</v>
      </c>
      <c r="Q4" s="31" t="s">
        <v>56</v>
      </c>
      <c r="R4" s="30" t="s">
        <v>35</v>
      </c>
      <c r="S4" s="120"/>
      <c r="U4" s="30" t="s">
        <v>9</v>
      </c>
      <c r="V4" s="31" t="s">
        <v>36</v>
      </c>
      <c r="W4" s="31" t="s">
        <v>37</v>
      </c>
      <c r="X4" s="31" t="s">
        <v>38</v>
      </c>
      <c r="Y4" s="31" t="s">
        <v>39</v>
      </c>
      <c r="Z4" s="220"/>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row>
    <row r="5" spans="1:59" ht="15" customHeight="1">
      <c r="A5" s="28"/>
      <c r="B5" s="28"/>
      <c r="C5" s="28"/>
      <c r="D5" s="28"/>
      <c r="E5" s="28"/>
      <c r="F5" s="70"/>
      <c r="G5" s="34"/>
      <c r="H5" s="135"/>
      <c r="I5" s="70"/>
      <c r="J5" s="71"/>
      <c r="K5" s="65"/>
      <c r="L5" s="136"/>
      <c r="M5" s="66"/>
      <c r="N5" s="28"/>
      <c r="O5" s="66"/>
      <c r="P5" s="28"/>
      <c r="Q5" s="28"/>
      <c r="R5" s="66"/>
      <c r="S5" s="136"/>
      <c r="U5" s="66"/>
      <c r="V5" s="28"/>
      <c r="W5" s="28"/>
      <c r="X5" s="28"/>
      <c r="Y5" s="28"/>
      <c r="Z5" s="220"/>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row>
    <row r="6" spans="1:59" ht="15" customHeight="1">
      <c r="A6" s="32" t="s">
        <v>57</v>
      </c>
      <c r="B6" s="54"/>
      <c r="C6" s="54"/>
      <c r="D6" s="83"/>
      <c r="E6" s="244">
        <f>$C$42</f>
        <v>34.299999999999997</v>
      </c>
      <c r="F6" s="34">
        <f t="shared" ref="F6:F12" si="0">V6+W6*E6+X6*D6+Y6*D7</f>
        <v>-0.54408000000000001</v>
      </c>
      <c r="G6" s="34">
        <f>'Model data'!D31</f>
        <v>0.75552403000000001</v>
      </c>
      <c r="H6" s="52" t="e">
        <f>-0.5*LN(1+(F6/G6-1/'Model data'!$D$28)/(1-F6))</f>
        <v>#NUM!</v>
      </c>
      <c r="I6" s="198" t="e">
        <f>1-(1+EXP(2*(H6+IF(Introduction!D$12="45q15",'Model data'!$C$24,'Model data'!$C$27))))/(1+EXP(2*(H6+'Model data'!$C$33)))</f>
        <v>#NUM!</v>
      </c>
      <c r="J6" s="53" t="e">
        <f>S6</f>
        <v>#NUM!</v>
      </c>
      <c r="K6" s="76"/>
      <c r="L6" s="32" t="s">
        <v>57</v>
      </c>
      <c r="M6" s="33">
        <v>10</v>
      </c>
      <c r="N6" s="34">
        <f t="shared" ref="N6:N12" si="1">SQRT(D6*D7)</f>
        <v>0</v>
      </c>
      <c r="O6" s="34">
        <f t="shared" ref="O6:O12" si="2">(1-(E6+M6)/80)/(1-(E6-0.75)/80)</f>
        <v>0.76856835306781479</v>
      </c>
      <c r="P6" s="34" t="e">
        <f t="shared" ref="P6:P12" si="3">LN(N6/O6)/3</f>
        <v>#NUM!</v>
      </c>
      <c r="Q6" s="98">
        <f>(M6+0.75)/2</f>
        <v>5.375</v>
      </c>
      <c r="R6" s="35" t="e">
        <f>Q6*(1-P6)</f>
        <v>#NUM!</v>
      </c>
      <c r="S6" s="36" t="e">
        <f>$S$1-R6</f>
        <v>#NUM!</v>
      </c>
      <c r="U6" s="199">
        <f>10</f>
        <v>10</v>
      </c>
      <c r="V6" s="200">
        <v>-0.55779999999999996</v>
      </c>
      <c r="W6" s="248">
        <v>4.0000000000000002E-4</v>
      </c>
      <c r="X6" s="200">
        <v>1.47078</v>
      </c>
      <c r="Y6" s="200">
        <v>6.9779999999999995E-2</v>
      </c>
      <c r="Z6" s="220"/>
      <c r="AA6" s="23"/>
      <c r="AB6" s="22"/>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row>
    <row r="7" spans="1:59" ht="15" customHeight="1">
      <c r="A7" s="32" t="s">
        <v>15</v>
      </c>
      <c r="B7" s="51"/>
      <c r="C7" s="51"/>
      <c r="D7" s="83"/>
      <c r="E7" s="244">
        <f t="shared" ref="E7:E13" si="4">$C$42</f>
        <v>34.299999999999997</v>
      </c>
      <c r="F7" s="34">
        <f t="shared" si="0"/>
        <v>-0.49014104000000003</v>
      </c>
      <c r="G7" s="34">
        <f>'Model data'!D31</f>
        <v>0.75552403000000001</v>
      </c>
      <c r="H7" s="52" t="e">
        <f>-0.5*LN(1+(F7/G7-1/'Model data'!$D$28)/(1-F7))</f>
        <v>#NUM!</v>
      </c>
      <c r="I7" s="198" t="e">
        <f>1-(1+EXP(2*(H7+IF(Introduction!D$12="45q15",'Model data'!$C$24,'Model data'!$C$27))))/(1+EXP(2*(H7+'Model data'!$C$33)))</f>
        <v>#NUM!</v>
      </c>
      <c r="J7" s="53" t="e">
        <f>S7</f>
        <v>#NUM!</v>
      </c>
      <c r="K7" s="76"/>
      <c r="L7" s="32" t="s">
        <v>15</v>
      </c>
      <c r="M7" s="33">
        <f>M6+5</f>
        <v>15</v>
      </c>
      <c r="N7" s="34">
        <f t="shared" si="1"/>
        <v>0</v>
      </c>
      <c r="O7" s="34">
        <f t="shared" si="2"/>
        <v>0.66092572658772875</v>
      </c>
      <c r="P7" s="34" t="e">
        <f t="shared" si="3"/>
        <v>#NUM!</v>
      </c>
      <c r="Q7" s="98">
        <f t="shared" ref="Q7:Q12" si="5">(M7+0.75)/2</f>
        <v>7.875</v>
      </c>
      <c r="R7" s="35" t="e">
        <f t="shared" ref="R7:R12" si="6">Q7*(1-P7)</f>
        <v>#NUM!</v>
      </c>
      <c r="S7" s="36" t="e">
        <f t="shared" ref="S7:S12" si="7">$S$1-R7</f>
        <v>#NUM!</v>
      </c>
      <c r="U7" s="32">
        <f>U6+5</f>
        <v>15</v>
      </c>
      <c r="V7" s="127">
        <v>-0.40129999999999999</v>
      </c>
      <c r="W7" s="249">
        <v>5.7600000000000004E-3</v>
      </c>
      <c r="X7" s="127">
        <v>1.5602</v>
      </c>
      <c r="Y7" s="127">
        <v>-0.35220000000000001</v>
      </c>
      <c r="Z7" s="220"/>
      <c r="AA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row>
    <row r="8" spans="1:59" ht="15" customHeight="1">
      <c r="A8" s="32" t="s">
        <v>2</v>
      </c>
      <c r="B8" s="54"/>
      <c r="C8" s="54"/>
      <c r="D8" s="83">
        <v>0.81320000000000003</v>
      </c>
      <c r="E8" s="244">
        <f t="shared" si="4"/>
        <v>34.299999999999997</v>
      </c>
      <c r="F8" s="34">
        <f t="shared" si="0"/>
        <v>0.81090211999999995</v>
      </c>
      <c r="G8" s="34">
        <f>'Model data'!D32</f>
        <v>0.71020634999999999</v>
      </c>
      <c r="H8" s="52">
        <f>-0.5*LN(1+(F8/G8-1/'Model data'!$D$28)/(1-F8))</f>
        <v>0.18332146428290444</v>
      </c>
      <c r="I8" s="198">
        <f>1-(1+EXP(2*(H8+IF(Introduction!D$12="45q15",'Model data'!$C$24,'Model data'!$C$27))))/(1+EXP(2*(H8+'Model data'!$C$33)))</f>
        <v>0.2953947434311025</v>
      </c>
      <c r="J8" s="53">
        <f>S8</f>
        <v>1979.6404520219255</v>
      </c>
      <c r="K8" s="76"/>
      <c r="L8" s="32" t="s">
        <v>2</v>
      </c>
      <c r="M8" s="33">
        <f t="shared" ref="M8:M12" si="8">M7+5</f>
        <v>20</v>
      </c>
      <c r="N8" s="34">
        <f t="shared" si="1"/>
        <v>0.76942160094450174</v>
      </c>
      <c r="O8" s="34">
        <f t="shared" si="2"/>
        <v>0.55328310010764259</v>
      </c>
      <c r="P8" s="34">
        <f t="shared" si="3"/>
        <v>0.1099230864506584</v>
      </c>
      <c r="Q8" s="98">
        <f t="shared" si="5"/>
        <v>10.375</v>
      </c>
      <c r="R8" s="35">
        <f t="shared" si="6"/>
        <v>9.2345479780744189</v>
      </c>
      <c r="S8" s="36">
        <f>$S$1-R8</f>
        <v>1979.6404520219255</v>
      </c>
      <c r="U8" s="32">
        <f t="shared" ref="U8:U13" si="9">U7+5</f>
        <v>20</v>
      </c>
      <c r="V8" s="127">
        <v>-0.33289999999999997</v>
      </c>
      <c r="W8" s="249">
        <v>1.031E-2</v>
      </c>
      <c r="X8" s="127">
        <v>0.66559999999999997</v>
      </c>
      <c r="Y8" s="127">
        <v>0.34189999999999998</v>
      </c>
      <c r="Z8" s="220"/>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row>
    <row r="9" spans="1:59" ht="15" customHeight="1">
      <c r="A9" s="32" t="s">
        <v>3</v>
      </c>
      <c r="B9" s="51"/>
      <c r="C9" s="51"/>
      <c r="D9" s="83">
        <v>0.72799999999999998</v>
      </c>
      <c r="E9" s="244">
        <f t="shared" si="4"/>
        <v>34.299999999999997</v>
      </c>
      <c r="F9" s="34">
        <f t="shared" si="0"/>
        <v>0.71074691999999984</v>
      </c>
      <c r="G9" s="34">
        <f>'Model data'!D33</f>
        <v>0.64850470999999998</v>
      </c>
      <c r="H9" s="52">
        <f>-0.5*LN(1+(F9/G9-1/'Model data'!$D$28)/(1-F9))</f>
        <v>0.22237958728887569</v>
      </c>
      <c r="I9" s="198">
        <f>1-(1+EXP(2*(H9+IF(Introduction!D$12="45q15",'Model data'!$C$24,'Model data'!$C$27))))/(1+EXP(2*(H9+'Model data'!$C$33)))</f>
        <v>0.3083988545439611</v>
      </c>
      <c r="J9" s="53">
        <f>S9</f>
        <v>1977.7693202766941</v>
      </c>
      <c r="K9" s="76"/>
      <c r="L9" s="32" t="s">
        <v>3</v>
      </c>
      <c r="M9" s="33">
        <f t="shared" si="8"/>
        <v>25</v>
      </c>
      <c r="N9" s="34">
        <f t="shared" si="1"/>
        <v>0.67302421947504976</v>
      </c>
      <c r="O9" s="34">
        <f t="shared" si="2"/>
        <v>0.44564047362755654</v>
      </c>
      <c r="P9" s="34">
        <f t="shared" si="3"/>
        <v>0.13742293411216608</v>
      </c>
      <c r="Q9" s="98">
        <f t="shared" si="5"/>
        <v>12.875</v>
      </c>
      <c r="R9" s="35">
        <f t="shared" si="6"/>
        <v>11.105679723305862</v>
      </c>
      <c r="S9" s="36">
        <f t="shared" si="7"/>
        <v>1977.7693202766941</v>
      </c>
      <c r="U9" s="32">
        <f t="shared" si="9"/>
        <v>25</v>
      </c>
      <c r="V9" s="127">
        <v>-0.47260000000000002</v>
      </c>
      <c r="W9" s="249">
        <v>1.559E-2</v>
      </c>
      <c r="X9" s="127">
        <v>0.21609999999999999</v>
      </c>
      <c r="Y9" s="127">
        <v>0.78959999999999997</v>
      </c>
      <c r="AA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row>
    <row r="10" spans="1:59" ht="15" customHeight="1">
      <c r="A10" s="32" t="s">
        <v>4</v>
      </c>
      <c r="B10" s="54"/>
      <c r="C10" s="54"/>
      <c r="D10" s="83">
        <v>0.62219999999999998</v>
      </c>
      <c r="E10" s="244">
        <f t="shared" si="4"/>
        <v>34.299999999999997</v>
      </c>
      <c r="F10" s="34">
        <f t="shared" si="0"/>
        <v>0.60922481999999989</v>
      </c>
      <c r="G10" s="34">
        <f>'Model data'!D34</f>
        <v>0.56564091000000005</v>
      </c>
      <c r="H10" s="52">
        <f>-0.5*LN(1+(F10/G10-1/'Model data'!$D$28)/(1-F10))</f>
        <v>0.18857017395939224</v>
      </c>
      <c r="I10" s="198">
        <f>1-(1+EXP(2*(H10+IF(Introduction!D$12="45q15",'Model data'!$C$24,'Model data'!$C$27))))/(1+EXP(2*(H10+'Model data'!$C$33)))</f>
        <v>0.29713590491107134</v>
      </c>
      <c r="J10" s="53">
        <f>IF(S10&lt;S9,S10,NA())</f>
        <v>1976.2057436382229</v>
      </c>
      <c r="K10" s="76"/>
      <c r="L10" s="32" t="s">
        <v>4</v>
      </c>
      <c r="M10" s="33">
        <f t="shared" si="8"/>
        <v>30</v>
      </c>
      <c r="N10" s="34">
        <f t="shared" si="1"/>
        <v>0.57305947335333351</v>
      </c>
      <c r="O10" s="34">
        <f t="shared" si="2"/>
        <v>0.33799784714747044</v>
      </c>
      <c r="P10" s="34">
        <f t="shared" si="3"/>
        <v>0.17598332606327605</v>
      </c>
      <c r="Q10" s="98">
        <f t="shared" si="5"/>
        <v>15.375</v>
      </c>
      <c r="R10" s="35">
        <f t="shared" si="6"/>
        <v>12.669256361777132</v>
      </c>
      <c r="S10" s="36">
        <f t="shared" si="7"/>
        <v>1976.2057436382229</v>
      </c>
      <c r="U10" s="32">
        <f t="shared" si="9"/>
        <v>30</v>
      </c>
      <c r="V10" s="127">
        <v>-0.7056</v>
      </c>
      <c r="W10" s="249">
        <v>2.0760000000000001E-2</v>
      </c>
      <c r="X10" s="127">
        <v>0.19969999999999999</v>
      </c>
      <c r="Y10" s="127">
        <v>0.90659999999999996</v>
      </c>
      <c r="AA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row>
    <row r="11" spans="1:59" ht="15" customHeight="1">
      <c r="A11" s="32" t="s">
        <v>5</v>
      </c>
      <c r="B11" s="51"/>
      <c r="C11" s="51"/>
      <c r="D11" s="83">
        <v>0.52780000000000005</v>
      </c>
      <c r="E11" s="244">
        <f>$C$42</f>
        <v>34.299999999999997</v>
      </c>
      <c r="F11" s="34">
        <f t="shared" si="0"/>
        <v>0.4543381299999999</v>
      </c>
      <c r="G11" s="34">
        <f>'Model data'!D35</f>
        <v>0.45948423000000005</v>
      </c>
      <c r="H11" s="52">
        <f>-0.5*LN(1+(F11/G11-1/'Model data'!$D$28)/(1-F11))</f>
        <v>0.2444779717427811</v>
      </c>
      <c r="I11" s="198">
        <f>1-(1+EXP(2*(H11+IF(Introduction!D$12="45q15",'Model data'!$C$24,'Model data'!$C$27))))/(1+EXP(2*(H11+'Model data'!$C$33)))</f>
        <v>0.31579660222175099</v>
      </c>
      <c r="J11" s="53">
        <f>IF(S11&lt;S10,S11,NA())</f>
        <v>1974.9854349219074</v>
      </c>
      <c r="K11" s="76"/>
      <c r="L11" s="32" t="s">
        <v>5</v>
      </c>
      <c r="M11" s="33">
        <f t="shared" si="8"/>
        <v>35</v>
      </c>
      <c r="N11" s="34">
        <f t="shared" si="1"/>
        <v>0.44966674326661071</v>
      </c>
      <c r="O11" s="34">
        <f t="shared" si="2"/>
        <v>0.23035522066738431</v>
      </c>
      <c r="P11" s="34">
        <f t="shared" si="3"/>
        <v>0.22296139423258779</v>
      </c>
      <c r="Q11" s="98">
        <f>(M11+0.75)/2</f>
        <v>17.875</v>
      </c>
      <c r="R11" s="35">
        <f t="shared" si="6"/>
        <v>13.889565078092494</v>
      </c>
      <c r="S11" s="36">
        <f t="shared" si="7"/>
        <v>1974.9854349219074</v>
      </c>
      <c r="U11" s="32">
        <f t="shared" si="9"/>
        <v>35</v>
      </c>
      <c r="V11" s="127">
        <v>-0.9153</v>
      </c>
      <c r="W11" s="249">
        <v>2.4930000000000001E-2</v>
      </c>
      <c r="X11" s="127">
        <v>0.34839999999999999</v>
      </c>
      <c r="Y11" s="127">
        <v>0.86309999999999998</v>
      </c>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row>
    <row r="12" spans="1:59" ht="15" customHeight="1">
      <c r="A12" s="96" t="s">
        <v>6</v>
      </c>
      <c r="B12" s="54"/>
      <c r="C12" s="54"/>
      <c r="D12" s="83">
        <v>0.3831</v>
      </c>
      <c r="E12" s="244">
        <f t="shared" si="4"/>
        <v>34.299999999999997</v>
      </c>
      <c r="F12" s="34">
        <f t="shared" si="0"/>
        <v>0.2873536499999999</v>
      </c>
      <c r="G12" s="34">
        <f>'Model data'!D36</f>
        <v>0.33550125999999997</v>
      </c>
      <c r="H12" s="52">
        <f>-0.5*LN(1+(F12/G12-1/'Model data'!$D$28)/(1-F12))</f>
        <v>0.32867336965577354</v>
      </c>
      <c r="I12" s="198">
        <f>1-(1+EXP(2*(H12+IF(Introduction!D$12="45q15",'Model data'!$C$24,'Model data'!$C$27))))/(1+EXP(2*(H12+'Model data'!$C$33)))</f>
        <v>0.34410536356992161</v>
      </c>
      <c r="J12" s="53">
        <f>IF(S12&lt;S11,S12,NA())</f>
        <v>1974.9183173422393</v>
      </c>
      <c r="K12" s="76"/>
      <c r="L12" s="96" t="s">
        <v>6</v>
      </c>
      <c r="M12" s="97">
        <f t="shared" si="8"/>
        <v>40</v>
      </c>
      <c r="N12" s="85">
        <f t="shared" si="1"/>
        <v>0.31572554537129238</v>
      </c>
      <c r="O12" s="85">
        <f t="shared" si="2"/>
        <v>0.12271259418729821</v>
      </c>
      <c r="P12" s="85">
        <f t="shared" si="3"/>
        <v>0.31500944010990328</v>
      </c>
      <c r="Q12" s="98">
        <f t="shared" si="5"/>
        <v>20.375</v>
      </c>
      <c r="R12" s="98">
        <f t="shared" si="6"/>
        <v>13.956682657760721</v>
      </c>
      <c r="S12" s="77">
        <f t="shared" si="7"/>
        <v>1974.9183173422393</v>
      </c>
      <c r="U12" s="96">
        <f t="shared" si="9"/>
        <v>40</v>
      </c>
      <c r="V12" s="133">
        <v>-0.995</v>
      </c>
      <c r="W12" s="250">
        <v>2.6349999999999998E-2</v>
      </c>
      <c r="X12" s="133">
        <v>0.4269</v>
      </c>
      <c r="Y12" s="133">
        <v>0.82630000000000003</v>
      </c>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row>
    <row r="13" spans="1:59" ht="15" customHeight="1">
      <c r="A13" s="121" t="s">
        <v>7</v>
      </c>
      <c r="B13" s="55"/>
      <c r="C13" s="55"/>
      <c r="D13" s="84">
        <v>0.26019999999999999</v>
      </c>
      <c r="E13" s="245">
        <f t="shared" si="4"/>
        <v>34.299999999999997</v>
      </c>
      <c r="F13" s="39"/>
      <c r="G13" s="39"/>
      <c r="H13" s="39"/>
      <c r="I13" s="39"/>
      <c r="J13" s="39"/>
      <c r="K13" s="76"/>
      <c r="L13" s="120"/>
      <c r="M13" s="129"/>
      <c r="N13" s="130"/>
      <c r="O13" s="120"/>
      <c r="P13" s="129"/>
      <c r="Q13" s="131"/>
      <c r="R13" s="129"/>
      <c r="S13" s="132"/>
      <c r="U13" s="37">
        <f t="shared" si="9"/>
        <v>45</v>
      </c>
      <c r="V13" s="39"/>
      <c r="W13" s="134"/>
      <c r="X13" s="39"/>
      <c r="Y13" s="111"/>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row>
    <row r="14" spans="1:59" ht="15" customHeight="1">
      <c r="A14" s="123"/>
      <c r="B14" s="124"/>
      <c r="C14" s="125"/>
      <c r="D14" s="101"/>
      <c r="E14" s="101"/>
      <c r="F14" s="101"/>
      <c r="G14" s="101"/>
      <c r="H14" s="101"/>
      <c r="I14" s="101"/>
      <c r="J14" s="101"/>
      <c r="K14" s="76"/>
      <c r="L14" s="48"/>
      <c r="M14" s="48"/>
      <c r="N14" s="49"/>
      <c r="O14" s="48"/>
      <c r="P14" s="48"/>
      <c r="Q14" s="49"/>
      <c r="R14" s="48"/>
      <c r="S14" s="48"/>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row>
    <row r="15" spans="1:59" ht="15" customHeight="1">
      <c r="A15" s="261" t="s">
        <v>58</v>
      </c>
      <c r="D15" s="23"/>
      <c r="E15" s="23"/>
      <c r="F15" s="261" t="s">
        <v>156</v>
      </c>
      <c r="H15" s="101"/>
      <c r="I15" s="101"/>
      <c r="J15" s="122"/>
      <c r="K15" s="23"/>
      <c r="R15" s="112" t="s">
        <v>17</v>
      </c>
      <c r="S15" s="23">
        <f>S1</f>
        <v>1988.875</v>
      </c>
      <c r="T15" s="23"/>
      <c r="U15" s="59" t="s">
        <v>136</v>
      </c>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row>
    <row r="16" spans="1:59" ht="15.75" customHeight="1">
      <c r="A16" s="243"/>
      <c r="B16" s="254" t="s">
        <v>141</v>
      </c>
      <c r="C16" s="242"/>
      <c r="D16" s="242"/>
      <c r="E16" s="254" t="s">
        <v>140</v>
      </c>
      <c r="F16" s="242"/>
      <c r="G16" s="242"/>
      <c r="H16" s="242"/>
      <c r="I16" s="254" t="s">
        <v>137</v>
      </c>
      <c r="J16" s="243"/>
      <c r="K16" s="1"/>
      <c r="L16" s="26" t="s">
        <v>0</v>
      </c>
      <c r="M16" s="26" t="s">
        <v>18</v>
      </c>
      <c r="N16" s="26" t="s">
        <v>19</v>
      </c>
      <c r="O16" s="26" t="s">
        <v>20</v>
      </c>
      <c r="P16" s="26" t="s">
        <v>21</v>
      </c>
      <c r="Q16" s="26" t="s">
        <v>22</v>
      </c>
      <c r="R16" s="26" t="s">
        <v>1</v>
      </c>
      <c r="S16" s="27"/>
      <c r="T16" s="9"/>
      <c r="U16" s="104"/>
      <c r="V16" s="104"/>
      <c r="W16" s="104"/>
      <c r="X16" s="104"/>
      <c r="Y16" s="104"/>
      <c r="Z16" s="104"/>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row>
    <row r="17" spans="1:57" ht="15.75" customHeight="1">
      <c r="A17" s="28" t="s">
        <v>0</v>
      </c>
      <c r="B17" s="255"/>
      <c r="C17" s="28" t="s">
        <v>76</v>
      </c>
      <c r="D17" s="28" t="s">
        <v>19</v>
      </c>
      <c r="E17" s="255"/>
      <c r="F17" s="240" t="s">
        <v>62</v>
      </c>
      <c r="G17" s="28" t="s">
        <v>20</v>
      </c>
      <c r="H17" s="28" t="s">
        <v>44</v>
      </c>
      <c r="I17" s="255"/>
      <c r="J17" s="241"/>
      <c r="K17" s="1"/>
      <c r="L17" s="28" t="s">
        <v>23</v>
      </c>
      <c r="M17" s="28" t="s">
        <v>24</v>
      </c>
      <c r="N17" s="28" t="s">
        <v>25</v>
      </c>
      <c r="O17" s="28" t="s">
        <v>26</v>
      </c>
      <c r="P17" s="28" t="s">
        <v>27</v>
      </c>
      <c r="Q17" s="28" t="s">
        <v>28</v>
      </c>
      <c r="R17" s="28" t="s">
        <v>29</v>
      </c>
      <c r="S17" s="28" t="s">
        <v>13</v>
      </c>
      <c r="T17" s="9"/>
      <c r="U17" s="66" t="s">
        <v>9</v>
      </c>
      <c r="V17" s="28" t="s">
        <v>36</v>
      </c>
      <c r="W17" s="28" t="s">
        <v>37</v>
      </c>
      <c r="X17" s="28" t="s">
        <v>38</v>
      </c>
      <c r="Y17" s="28" t="s">
        <v>39</v>
      </c>
      <c r="Z17" s="28" t="s">
        <v>40</v>
      </c>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row>
    <row r="18" spans="1:57" ht="15.75" customHeight="1">
      <c r="A18" s="31" t="s">
        <v>23</v>
      </c>
      <c r="B18" s="256"/>
      <c r="C18" s="31" t="s">
        <v>88</v>
      </c>
      <c r="D18" s="31" t="s">
        <v>31</v>
      </c>
      <c r="E18" s="256"/>
      <c r="F18" s="61" t="s">
        <v>65</v>
      </c>
      <c r="G18" s="31" t="s">
        <v>55</v>
      </c>
      <c r="H18" s="62" t="s">
        <v>48</v>
      </c>
      <c r="I18" s="63" t="str">
        <f>Introduction!D12</f>
        <v>30q30</v>
      </c>
      <c r="J18" s="64" t="s">
        <v>13</v>
      </c>
      <c r="K18" s="1"/>
      <c r="L18" s="29"/>
      <c r="M18" s="30" t="s">
        <v>30</v>
      </c>
      <c r="N18" s="31" t="s">
        <v>31</v>
      </c>
      <c r="O18" s="30" t="s">
        <v>32</v>
      </c>
      <c r="P18" s="31" t="s">
        <v>33</v>
      </c>
      <c r="Q18" s="31" t="s">
        <v>34</v>
      </c>
      <c r="R18" s="30" t="s">
        <v>35</v>
      </c>
      <c r="S18" s="29"/>
      <c r="T18" s="9"/>
      <c r="U18" s="95"/>
      <c r="V18" s="95"/>
      <c r="W18" s="95"/>
      <c r="X18" s="95"/>
      <c r="Y18" s="95"/>
      <c r="Z18" s="95"/>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row>
    <row r="19" spans="1:57" ht="15" customHeight="1">
      <c r="A19" s="89"/>
      <c r="B19" s="100"/>
      <c r="C19" s="100"/>
      <c r="D19" s="89"/>
      <c r="E19" s="89"/>
      <c r="F19" s="89"/>
      <c r="G19" s="34"/>
      <c r="H19" s="89"/>
      <c r="I19" s="89"/>
      <c r="J19" s="90"/>
      <c r="K19" s="1"/>
      <c r="L19" s="50"/>
      <c r="M19" s="50"/>
      <c r="N19" s="50"/>
      <c r="O19" s="50"/>
      <c r="P19" s="50"/>
      <c r="Q19" s="50"/>
      <c r="R19" s="50"/>
      <c r="S19" s="50"/>
      <c r="T19" s="9"/>
      <c r="U19" s="104"/>
      <c r="V19" s="89"/>
      <c r="W19" s="89"/>
      <c r="X19" s="89"/>
      <c r="Y19" s="89"/>
      <c r="Z19" s="89"/>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row>
    <row r="20" spans="1:57" ht="15" customHeight="1">
      <c r="A20" s="140" t="s">
        <v>4</v>
      </c>
      <c r="B20" s="54"/>
      <c r="C20" s="54"/>
      <c r="D20" s="83">
        <v>0.82110000000000005</v>
      </c>
      <c r="E20" s="137">
        <f>AVERAGE(E32:E33)</f>
        <v>19.7</v>
      </c>
      <c r="F20" s="34">
        <f>IF(D21&gt;0,V20+W20*E10+X20*E20+Y20*D20+Z20*D21,NA())</f>
        <v>0.7800520999999998</v>
      </c>
      <c r="G20" s="34">
        <f>'Model data'!D34</f>
        <v>0.56564091000000005</v>
      </c>
      <c r="H20" s="74">
        <f>-0.5*LN(1+(F20/G20-1/'Model data'!$D$32)/(1-F20))</f>
        <v>7.0649573175755181E-2</v>
      </c>
      <c r="I20" s="198">
        <f>1-(1+EXP(2*(H20+IF(Introduction!D$12="45q15",'Model data'!$C$24,'Model data'!$C$27))))/(1+EXP(2*(H20+'Model data'!$C$33)))</f>
        <v>0.25870234579754903</v>
      </c>
      <c r="J20" s="75">
        <f>S20</f>
        <v>1984.1180646534783</v>
      </c>
      <c r="K20" s="142"/>
      <c r="L20" s="32" t="s">
        <v>4</v>
      </c>
      <c r="M20" s="36">
        <f>M10-E20</f>
        <v>10.3</v>
      </c>
      <c r="N20" s="34">
        <f>SQRT(D20*D21)</f>
        <v>0.75921815046796659</v>
      </c>
      <c r="O20" s="34">
        <f>(1-(M10+E10)/80)/(1-(E10+E20)/80)</f>
        <v>0.60384615384615403</v>
      </c>
      <c r="P20" s="34">
        <f>LN(N20/O20)/3</f>
        <v>7.6323233685119798E-2</v>
      </c>
      <c r="Q20" s="33">
        <f>M20/2</f>
        <v>5.15</v>
      </c>
      <c r="R20" s="35">
        <f>Q20*(1-P20)</f>
        <v>4.7569353465216331</v>
      </c>
      <c r="S20" s="36">
        <f>$S$15-R20</f>
        <v>1984.1180646534783</v>
      </c>
      <c r="T20" s="143"/>
      <c r="U20" s="32">
        <v>30</v>
      </c>
      <c r="V20" s="144">
        <v>6.7599999999999993E-2</v>
      </c>
      <c r="W20" s="145">
        <v>1.5879999999999998E-2</v>
      </c>
      <c r="X20" s="145">
        <v>-6.3299999999999997E-3</v>
      </c>
      <c r="Y20" s="144">
        <v>-1.2070000000000001</v>
      </c>
      <c r="Z20" s="144">
        <v>1.8284</v>
      </c>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row>
    <row r="21" spans="1:57" ht="15" customHeight="1">
      <c r="A21" s="140" t="s">
        <v>5</v>
      </c>
      <c r="B21" s="51"/>
      <c r="C21" s="51"/>
      <c r="D21" s="83">
        <v>0.70199999999999996</v>
      </c>
      <c r="E21" s="137">
        <f t="shared" ref="E21:E23" si="10">AVERAGE(E33:E34)</f>
        <v>18.95</v>
      </c>
      <c r="F21" s="34">
        <f>IF(D22&gt;0,V21+W21*E11+X21*E21+Y21*D21+Z21*D22,NA())</f>
        <v>0.56320111999999989</v>
      </c>
      <c r="G21" s="34">
        <f>'Model data'!D35</f>
        <v>0.45948423000000005</v>
      </c>
      <c r="H21" s="74">
        <f>-0.5*LN(1+(F21/G21-1/'Model data'!$D$32)/(1-F21))</f>
        <v>0.27012139363733428</v>
      </c>
      <c r="I21" s="198">
        <f>1-(1+EXP(2*(H21+IF(Introduction!D$12="45q15",'Model data'!$C$24,'Model data'!$C$27))))/(1+EXP(2*(H21+'Model data'!$C$33)))</f>
        <v>0.32440592998336426</v>
      </c>
      <c r="J21" s="75">
        <f t="shared" ref="J21:J22" si="11">S21</f>
        <v>1981.9340439155021</v>
      </c>
      <c r="K21" s="142"/>
      <c r="L21" s="32" t="s">
        <v>5</v>
      </c>
      <c r="M21" s="36">
        <f>M11-E21</f>
        <v>16.05</v>
      </c>
      <c r="N21" s="34">
        <f t="shared" ref="N21:N22" si="12">SQRT(D21*D22)</f>
        <v>0.59987098612951761</v>
      </c>
      <c r="O21" s="34">
        <f>(1-(M11+E11)/80)/(1-(E11+E21)/80)</f>
        <v>0.40000000000000013</v>
      </c>
      <c r="P21" s="34">
        <f t="shared" ref="P21:P22" si="13">LN(N21/O21)/3</f>
        <v>0.1350833539566362</v>
      </c>
      <c r="Q21" s="33">
        <f t="shared" ref="Q21:Q22" si="14">M21/2</f>
        <v>8.0250000000000004</v>
      </c>
      <c r="R21" s="35">
        <f t="shared" ref="R21:R22" si="15">Q21*(1-P21)</f>
        <v>6.9409560844979952</v>
      </c>
      <c r="S21" s="36">
        <f>$S$15-R21</f>
        <v>1981.9340439155021</v>
      </c>
      <c r="T21" s="143"/>
      <c r="U21" s="32">
        <v>35</v>
      </c>
      <c r="V21" s="144">
        <v>-0.54590000000000005</v>
      </c>
      <c r="W21" s="145">
        <v>2.273E-2</v>
      </c>
      <c r="X21" s="145">
        <v>-1.0829999999999999E-2</v>
      </c>
      <c r="Y21" s="144">
        <v>-0.25090000000000001</v>
      </c>
      <c r="Z21" s="144">
        <v>1.3867</v>
      </c>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row>
    <row r="22" spans="1:57" ht="15" customHeight="1">
      <c r="A22" s="140" t="s">
        <v>6</v>
      </c>
      <c r="B22" s="54"/>
      <c r="C22" s="54"/>
      <c r="D22" s="83">
        <v>0.51259999999999994</v>
      </c>
      <c r="E22" s="137">
        <f t="shared" si="10"/>
        <v>18.25</v>
      </c>
      <c r="F22" s="34">
        <f t="shared" ref="F22" si="16">IF(D23&gt;0,V22+W22*E12+X22*E22+Y22*D22+Z22*D23,NA())</f>
        <v>0.39931296000000005</v>
      </c>
      <c r="G22" s="34">
        <f>'Model data'!D36</f>
        <v>0.33550125999999997</v>
      </c>
      <c r="H22" s="74">
        <f>-0.5*LN(1+(F22/G22-1/'Model data'!$D$32)/(1-F22))</f>
        <v>0.22522368796057521</v>
      </c>
      <c r="I22" s="198">
        <f>1-(1+EXP(2*(H22+IF(Introduction!D$12="45q15",'Model data'!$C$24,'Model data'!$C$27))))/(1+EXP(2*(H22+'Model data'!$C$33)))</f>
        <v>0.30934957599865953</v>
      </c>
      <c r="J22" s="75">
        <f t="shared" si="11"/>
        <v>1980.6690910934228</v>
      </c>
      <c r="K22" s="142"/>
      <c r="L22" s="32" t="s">
        <v>6</v>
      </c>
      <c r="M22" s="36">
        <f>M12-E22</f>
        <v>21.75</v>
      </c>
      <c r="N22" s="34">
        <f t="shared" si="12"/>
        <v>0.43361466764859324</v>
      </c>
      <c r="O22" s="34">
        <f>(1-(M12+E12)/80)/(1-(E12+E22)/80)</f>
        <v>0.20765027322404381</v>
      </c>
      <c r="P22" s="34">
        <f t="shared" si="13"/>
        <v>0.24543366376301259</v>
      </c>
      <c r="Q22" s="33">
        <f t="shared" si="14"/>
        <v>10.875</v>
      </c>
      <c r="R22" s="35">
        <f t="shared" si="15"/>
        <v>8.205908906577239</v>
      </c>
      <c r="S22" s="36">
        <f>$S$15-R22</f>
        <v>1980.6690910934228</v>
      </c>
      <c r="T22" s="143"/>
      <c r="U22" s="32">
        <v>40</v>
      </c>
      <c r="V22" s="144">
        <v>-0.86739999999999995</v>
      </c>
      <c r="W22" s="145">
        <v>2.622E-2</v>
      </c>
      <c r="X22" s="145">
        <v>-1.1350000000000001E-2</v>
      </c>
      <c r="Y22" s="144">
        <v>0.60570000000000002</v>
      </c>
      <c r="Z22" s="144">
        <v>0.7198</v>
      </c>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row>
    <row r="23" spans="1:57" ht="15" customHeight="1">
      <c r="A23" s="146" t="s">
        <v>7</v>
      </c>
      <c r="B23" s="55"/>
      <c r="C23" s="55"/>
      <c r="D23" s="84">
        <v>0.36680000000000001</v>
      </c>
      <c r="E23" s="232">
        <f t="shared" si="10"/>
        <v>17.75</v>
      </c>
      <c r="F23" s="39"/>
      <c r="G23" s="39"/>
      <c r="H23" s="39"/>
      <c r="I23" s="39"/>
      <c r="J23" s="39"/>
      <c r="K23" s="142"/>
      <c r="L23" s="37"/>
      <c r="M23" s="41"/>
      <c r="N23" s="39"/>
      <c r="O23" s="39"/>
      <c r="P23" s="39"/>
      <c r="Q23" s="38"/>
      <c r="R23" s="40"/>
      <c r="S23" s="41"/>
      <c r="T23" s="143"/>
      <c r="U23" s="37"/>
      <c r="V23" s="147"/>
      <c r="W23" s="134"/>
      <c r="X23" s="134"/>
      <c r="Y23" s="147"/>
      <c r="Z23" s="147"/>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row>
    <row r="24" spans="1:57" ht="15" customHeight="1">
      <c r="A24" s="142"/>
      <c r="B24" s="142"/>
      <c r="C24" s="142"/>
      <c r="G24" s="138" t="s">
        <v>11</v>
      </c>
      <c r="H24" s="74">
        <f>AVERAGEA(H20:H22)</f>
        <v>0.18866488492455491</v>
      </c>
      <c r="I24" s="198">
        <f>1-(1+EXP(2*(H24+IF(Introduction!D$12="45q15",'Model data'!$C$24,'Model data'!$C$27))))/(1+EXP(2*(H24+'Model data'!$C$33)))</f>
        <v>0.2971673434583223</v>
      </c>
      <c r="J24" s="75">
        <f>AVERAGEA(J20:J22)</f>
        <v>1982.2403998874679</v>
      </c>
      <c r="K24" s="142"/>
      <c r="L24" s="48"/>
      <c r="M24" s="43"/>
      <c r="N24" s="44"/>
      <c r="O24" s="48"/>
      <c r="P24" s="45"/>
      <c r="Q24" s="46"/>
      <c r="R24" s="45"/>
      <c r="S24" s="47"/>
      <c r="T24" s="143"/>
      <c r="U24" s="143"/>
      <c r="V24" s="143"/>
      <c r="W24" s="143"/>
      <c r="X24" s="143"/>
      <c r="Y24" s="143"/>
      <c r="Z24" s="14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row>
    <row r="25" spans="1:57" ht="15" customHeight="1">
      <c r="A25" s="142"/>
      <c r="B25" s="142"/>
      <c r="C25" s="142"/>
      <c r="G25" s="138" t="s">
        <v>12</v>
      </c>
      <c r="H25" s="74">
        <f>AVERAGEA(H20:H21)</f>
        <v>0.17038548340654475</v>
      </c>
      <c r="I25" s="198">
        <f>1-(1+EXP(2*(H25+IF(Introduction!D$12="45q15",'Model data'!$C$24,'Model data'!$C$27))))/(1+EXP(2*(H25+'Model data'!$C$33)))</f>
        <v>0.29111320093140114</v>
      </c>
      <c r="J25" s="75">
        <f>AVERAGEA(J20:J21)</f>
        <v>1983.0260542844903</v>
      </c>
      <c r="K25" s="142"/>
      <c r="L25" s="143"/>
      <c r="M25" s="143"/>
      <c r="N25" s="49"/>
      <c r="O25" s="48"/>
      <c r="P25" s="48"/>
      <c r="Q25" s="49"/>
      <c r="R25" s="143"/>
      <c r="S25" s="143"/>
      <c r="T25" s="143"/>
      <c r="U25" s="143"/>
      <c r="V25" s="143"/>
      <c r="W25" s="143"/>
      <c r="X25" s="143"/>
      <c r="Y25" s="143"/>
      <c r="Z25" s="14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row>
    <row r="26" spans="1:57" ht="15" customHeight="1">
      <c r="A26" s="142"/>
      <c r="B26" s="142"/>
      <c r="C26" s="142"/>
      <c r="G26" s="138"/>
      <c r="H26" s="138"/>
      <c r="I26" s="138"/>
      <c r="J26" s="138"/>
      <c r="K26" s="138"/>
      <c r="L26" s="138"/>
      <c r="M26" s="143"/>
      <c r="N26" s="49"/>
      <c r="O26" s="48"/>
      <c r="P26" s="48"/>
      <c r="Q26" s="49"/>
      <c r="R26" s="143"/>
      <c r="S26" s="143"/>
      <c r="T26" s="143"/>
      <c r="U26" s="143"/>
      <c r="V26" s="143"/>
      <c r="W26" s="143"/>
      <c r="X26" s="143"/>
      <c r="Y26" s="143"/>
      <c r="Z26" s="14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row>
    <row r="27" spans="1:57" ht="15" customHeight="1">
      <c r="A27" s="261" t="s">
        <v>58</v>
      </c>
      <c r="B27" s="142"/>
      <c r="C27" s="142"/>
      <c r="D27" s="142"/>
      <c r="E27" s="142"/>
      <c r="F27" s="261" t="s">
        <v>155</v>
      </c>
      <c r="H27" s="139"/>
      <c r="I27" s="142"/>
      <c r="J27" s="148"/>
      <c r="K27" s="142"/>
      <c r="L27" s="48"/>
      <c r="M27" s="48"/>
      <c r="N27" s="49"/>
      <c r="O27" s="48"/>
      <c r="P27" s="48"/>
      <c r="Q27" s="49"/>
      <c r="R27" s="112" t="s">
        <v>17</v>
      </c>
      <c r="S27" s="36">
        <f>S1</f>
        <v>1988.875</v>
      </c>
      <c r="T27" s="143"/>
      <c r="U27" s="59" t="s">
        <v>136</v>
      </c>
      <c r="V27" s="143"/>
      <c r="W27" s="143"/>
      <c r="X27" s="143"/>
      <c r="Y27" s="143"/>
      <c r="Z27" s="14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row>
    <row r="28" spans="1:57" ht="15" customHeight="1">
      <c r="A28" s="243"/>
      <c r="B28" s="242"/>
      <c r="C28" s="254" t="s">
        <v>141</v>
      </c>
      <c r="D28" s="242"/>
      <c r="E28" s="254" t="s">
        <v>140</v>
      </c>
      <c r="F28" s="242"/>
      <c r="G28" s="242"/>
      <c r="H28" s="242"/>
      <c r="I28" s="254" t="s">
        <v>137</v>
      </c>
      <c r="J28" s="243"/>
      <c r="K28" s="148"/>
      <c r="L28" s="26" t="s">
        <v>0</v>
      </c>
      <c r="M28" s="26" t="s">
        <v>18</v>
      </c>
      <c r="N28" s="26" t="s">
        <v>19</v>
      </c>
      <c r="O28" s="26" t="s">
        <v>20</v>
      </c>
      <c r="P28" s="26" t="s">
        <v>21</v>
      </c>
      <c r="Q28" s="26" t="s">
        <v>22</v>
      </c>
      <c r="R28" s="26" t="s">
        <v>1</v>
      </c>
      <c r="S28" s="27"/>
      <c r="T28" s="157"/>
      <c r="U28" s="159"/>
      <c r="V28" s="159"/>
      <c r="W28" s="159"/>
      <c r="X28" s="159"/>
      <c r="Y28" s="159"/>
      <c r="Z28" s="159"/>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row>
    <row r="29" spans="1:57" ht="15" customHeight="1">
      <c r="A29" s="28" t="s">
        <v>0</v>
      </c>
      <c r="B29" s="28" t="s">
        <v>41</v>
      </c>
      <c r="C29" s="255"/>
      <c r="D29" s="28" t="s">
        <v>19</v>
      </c>
      <c r="E29" s="255"/>
      <c r="F29" s="240" t="s">
        <v>60</v>
      </c>
      <c r="G29" s="28" t="s">
        <v>20</v>
      </c>
      <c r="H29" s="28" t="s">
        <v>44</v>
      </c>
      <c r="I29" s="255"/>
      <c r="J29" s="241"/>
      <c r="K29" s="148"/>
      <c r="L29" s="28" t="s">
        <v>23</v>
      </c>
      <c r="M29" s="28" t="s">
        <v>24</v>
      </c>
      <c r="N29" s="28" t="s">
        <v>25</v>
      </c>
      <c r="O29" s="28" t="s">
        <v>26</v>
      </c>
      <c r="P29" s="28" t="s">
        <v>27</v>
      </c>
      <c r="Q29" s="28" t="s">
        <v>28</v>
      </c>
      <c r="R29" s="28" t="s">
        <v>29</v>
      </c>
      <c r="S29" s="28" t="s">
        <v>13</v>
      </c>
      <c r="T29" s="157"/>
      <c r="U29" s="66" t="s">
        <v>9</v>
      </c>
      <c r="V29" s="28" t="s">
        <v>36</v>
      </c>
      <c r="W29" s="28" t="s">
        <v>37</v>
      </c>
      <c r="X29" s="28" t="s">
        <v>38</v>
      </c>
      <c r="Y29" s="28" t="s">
        <v>39</v>
      </c>
      <c r="Z29" s="28" t="s">
        <v>40</v>
      </c>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row>
    <row r="30" spans="1:57" ht="15" customHeight="1">
      <c r="A30" s="31" t="s">
        <v>23</v>
      </c>
      <c r="B30" s="31" t="s">
        <v>45</v>
      </c>
      <c r="C30" s="256"/>
      <c r="D30" s="31" t="s">
        <v>31</v>
      </c>
      <c r="E30" s="256"/>
      <c r="F30" s="63" t="s">
        <v>61</v>
      </c>
      <c r="G30" s="31" t="s">
        <v>75</v>
      </c>
      <c r="H30" s="62" t="s">
        <v>48</v>
      </c>
      <c r="I30" s="63" t="str">
        <f>Introduction!D$12</f>
        <v>30q30</v>
      </c>
      <c r="J30" s="64" t="s">
        <v>13</v>
      </c>
      <c r="K30" s="106"/>
      <c r="L30" s="156"/>
      <c r="M30" s="30" t="s">
        <v>30</v>
      </c>
      <c r="N30" s="31" t="s">
        <v>31</v>
      </c>
      <c r="O30" s="30" t="s">
        <v>32</v>
      </c>
      <c r="P30" s="31" t="s">
        <v>33</v>
      </c>
      <c r="Q30" s="31" t="s">
        <v>34</v>
      </c>
      <c r="R30" s="30" t="s">
        <v>35</v>
      </c>
      <c r="S30" s="156"/>
      <c r="T30" s="157"/>
      <c r="U30" s="158"/>
      <c r="V30" s="158"/>
      <c r="W30" s="158"/>
      <c r="X30" s="158"/>
      <c r="Y30" s="158"/>
      <c r="Z30" s="158"/>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row>
    <row r="31" spans="1:57" ht="15" customHeight="1">
      <c r="A31" s="141"/>
      <c r="B31" s="141"/>
      <c r="C31" s="141"/>
      <c r="D31" s="141"/>
      <c r="E31" s="141"/>
      <c r="F31" s="141"/>
      <c r="G31" s="34"/>
      <c r="H31" s="141"/>
      <c r="I31" s="141"/>
      <c r="J31" s="150"/>
      <c r="K31" s="148"/>
      <c r="L31" s="151"/>
      <c r="M31" s="151"/>
      <c r="N31" s="152"/>
      <c r="O31" s="152"/>
      <c r="P31" s="149"/>
      <c r="Q31" s="149"/>
      <c r="R31" s="149"/>
      <c r="S31" s="149"/>
      <c r="T31" s="143"/>
      <c r="U31" s="149"/>
      <c r="V31" s="153"/>
      <c r="W31" s="153"/>
      <c r="X31" s="153"/>
      <c r="Y31" s="153"/>
      <c r="Z31" s="15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row>
    <row r="32" spans="1:57" ht="15" customHeight="1">
      <c r="A32" s="154" t="s">
        <v>4</v>
      </c>
      <c r="B32" s="169"/>
      <c r="C32" s="169"/>
      <c r="D32" s="83">
        <v>0.75780000000000003</v>
      </c>
      <c r="E32" s="88">
        <v>20</v>
      </c>
      <c r="F32" s="85">
        <f>IF(D32&gt;0,V32+W32*E10+X32*E32+Y32*E32*D32+Z32*D32,0)</f>
        <v>0.77344282000000009</v>
      </c>
      <c r="G32" s="85">
        <f>'Model data'!D$32</f>
        <v>0.71020634999999999</v>
      </c>
      <c r="H32" s="74">
        <f>-0.5*LN(1+(F32/G32-1/'Model data'!$D$28)/(1-F32))</f>
        <v>0.33569303526848959</v>
      </c>
      <c r="I32" s="198">
        <f>1-(1+EXP(2*(H32+IF(Introduction!D$12="45q15",'Model data'!$C$24,'Model data'!$C$27))))/(1+EXP(2*(H32+'Model data'!$C$33)))</f>
        <v>0.34646627027709553</v>
      </c>
      <c r="J32" s="75">
        <f>S32</f>
        <v>1972.3692384186711</v>
      </c>
      <c r="K32" s="148"/>
      <c r="L32" s="96" t="s">
        <v>4</v>
      </c>
      <c r="M32" s="137">
        <v>27.5</v>
      </c>
      <c r="N32" s="141">
        <f>D32</f>
        <v>0.75780000000000003</v>
      </c>
      <c r="O32" s="155">
        <f>(80-E32-E9)/(80-E9)</f>
        <v>0.56236323851203507</v>
      </c>
      <c r="P32" s="85">
        <f>LN(N32/O32)/3</f>
        <v>9.9423841867116058E-2</v>
      </c>
      <c r="Q32" s="77">
        <f>E32/2</f>
        <v>10</v>
      </c>
      <c r="R32" s="98">
        <f>(M32-E32)+Q32*(1-P32)</f>
        <v>16.505761581328841</v>
      </c>
      <c r="S32" s="77">
        <f>$S$15-R32</f>
        <v>1972.3692384186711</v>
      </c>
      <c r="T32" s="143"/>
      <c r="U32" s="32">
        <v>30</v>
      </c>
      <c r="V32" s="144">
        <v>-1.2719</v>
      </c>
      <c r="W32" s="145">
        <v>1.06E-2</v>
      </c>
      <c r="X32" s="145">
        <v>4.48E-2</v>
      </c>
      <c r="Y32" s="145">
        <v>-4.0070000000000001E-2</v>
      </c>
      <c r="Z32" s="144">
        <v>1.8383</v>
      </c>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row>
    <row r="33" spans="1:59" ht="15" customHeight="1">
      <c r="A33" s="154" t="s">
        <v>5</v>
      </c>
      <c r="B33" s="170"/>
      <c r="C33" s="170"/>
      <c r="D33" s="83">
        <v>0.75180000000000002</v>
      </c>
      <c r="E33" s="88">
        <v>19.399999999999999</v>
      </c>
      <c r="F33" s="85">
        <f t="shared" ref="F33:F35" si="17">IF(D33&gt;0,V33+W33*E11+X33*E33+Y33*E33*D33+Z33*D33,0)</f>
        <v>0.76271529920000003</v>
      </c>
      <c r="G33" s="85">
        <f>'Model data'!D$32</f>
        <v>0.71020634999999999</v>
      </c>
      <c r="H33" s="74">
        <f>-0.5*LN(1+(F33/G33-1/'Model data'!$D$28)/(1-F33))</f>
        <v>0.37809629887078228</v>
      </c>
      <c r="I33" s="198">
        <f>1-(1+EXP(2*(H33+IF(Introduction!D$12="45q15",'Model data'!$C$24,'Model data'!$C$27))))/(1+EXP(2*(H33+'Model data'!$C$33)))</f>
        <v>0.36069863989760109</v>
      </c>
      <c r="J33" s="75">
        <f t="shared" ref="J33:J36" si="18">S33</f>
        <v>1966.9390902617947</v>
      </c>
      <c r="K33" s="142"/>
      <c r="L33" s="96" t="s">
        <v>5</v>
      </c>
      <c r="M33" s="137">
        <v>32.5</v>
      </c>
      <c r="N33" s="141">
        <f t="shared" ref="N33:N36" si="19">D33</f>
        <v>0.75180000000000002</v>
      </c>
      <c r="O33" s="155">
        <f>(80-E33-E10)/(80-E10)</f>
        <v>0.57549234135667404</v>
      </c>
      <c r="P33" s="85">
        <f t="shared" ref="P33:P36" si="20">LN(N33/O33)/3</f>
        <v>8.9081470288126866E-2</v>
      </c>
      <c r="Q33" s="77">
        <f>E33/2</f>
        <v>9.6999999999999993</v>
      </c>
      <c r="R33" s="98">
        <f>(M33-E33)+Q33*(1-P33)</f>
        <v>21.935909738205169</v>
      </c>
      <c r="S33" s="77">
        <f>$S$15-R33</f>
        <v>1966.9390902617947</v>
      </c>
      <c r="T33" s="143"/>
      <c r="U33" s="32">
        <v>35</v>
      </c>
      <c r="V33" s="144">
        <v>-1.2977000000000001</v>
      </c>
      <c r="W33" s="145">
        <v>1.068E-2</v>
      </c>
      <c r="X33" s="145">
        <v>4.6519999999999999E-2</v>
      </c>
      <c r="Y33" s="145">
        <v>-4.1239999999999999E-2</v>
      </c>
      <c r="Z33" s="144">
        <v>1.853</v>
      </c>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row>
    <row r="34" spans="1:59" ht="15" customHeight="1">
      <c r="A34" s="154" t="s">
        <v>6</v>
      </c>
      <c r="B34" s="169"/>
      <c r="C34" s="169"/>
      <c r="D34" s="83">
        <v>0.74739999999999995</v>
      </c>
      <c r="E34" s="88">
        <v>18.5</v>
      </c>
      <c r="F34" s="85">
        <f>IF(D34&gt;0,V34+W34*E12+X34*E34+Y34*E34*D34+Z34*D34,0)</f>
        <v>0.74436971499999982</v>
      </c>
      <c r="G34" s="85">
        <f>'Model data'!D$32</f>
        <v>0.71020634999999999</v>
      </c>
      <c r="H34" s="74">
        <f>-0.5*LN(1+(F34/G34-1/'Model data'!$D$28)/(1-F34))</f>
        <v>0.45011487726505445</v>
      </c>
      <c r="I34" s="198">
        <f>1-(1+EXP(2*(H34+IF(Introduction!D$12="45q15",'Model data'!$C$24,'Model data'!$C$27))))/(1+EXP(2*(H34+'Model data'!$C$33)))</f>
        <v>0.38464703115019627</v>
      </c>
      <c r="J34" s="75">
        <f t="shared" si="18"/>
        <v>1961.3271569015581</v>
      </c>
      <c r="K34" s="142"/>
      <c r="L34" s="96" t="s">
        <v>6</v>
      </c>
      <c r="M34" s="137">
        <v>37.5</v>
      </c>
      <c r="N34" s="141">
        <f t="shared" si="19"/>
        <v>0.74739999999999995</v>
      </c>
      <c r="O34" s="155">
        <f>(80-E34-E11)/(80-E11)</f>
        <v>0.59518599562363239</v>
      </c>
      <c r="P34" s="85">
        <f t="shared" si="20"/>
        <v>7.590885422248457E-2</v>
      </c>
      <c r="Q34" s="77">
        <f>E34/2</f>
        <v>9.25</v>
      </c>
      <c r="R34" s="98">
        <f>(M34-E34)+Q34*(1-P34)</f>
        <v>27.547843098442016</v>
      </c>
      <c r="S34" s="77">
        <f>$S$15-R34</f>
        <v>1961.3271569015581</v>
      </c>
      <c r="T34" s="143"/>
      <c r="U34" s="32">
        <v>40</v>
      </c>
      <c r="V34" s="144">
        <v>-1.3203</v>
      </c>
      <c r="W34" s="145">
        <v>1.0699999999999999E-2</v>
      </c>
      <c r="X34" s="145">
        <v>4.7690000000000003E-2</v>
      </c>
      <c r="Y34" s="145">
        <v>-4.2250000000000003E-2</v>
      </c>
      <c r="Z34" s="144">
        <v>1.8726</v>
      </c>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row>
    <row r="35" spans="1:59" ht="15" customHeight="1">
      <c r="A35" s="154" t="s">
        <v>7</v>
      </c>
      <c r="B35" s="170"/>
      <c r="C35" s="170"/>
      <c r="D35" s="83">
        <v>0.70930000000000004</v>
      </c>
      <c r="E35" s="88">
        <v>18</v>
      </c>
      <c r="F35" s="85">
        <f t="shared" si="17"/>
        <v>0.69381787799999994</v>
      </c>
      <c r="G35" s="85">
        <f>'Model data'!D$32</f>
        <v>0.71020634999999999</v>
      </c>
      <c r="H35" s="74">
        <f>-0.5*LN(1+(F35/G35-1/'Model data'!$D$28)/(1-F35))</f>
        <v>0.65098346001699803</v>
      </c>
      <c r="I35" s="198">
        <f>1-(1+EXP(2*(H35+IF(Introduction!D$12="45q15",'Model data'!$C$24,'Model data'!$C$27))))/(1+EXP(2*(H35+'Model data'!$C$33)))</f>
        <v>0.44819371755090409</v>
      </c>
      <c r="J35" s="75">
        <f t="shared" si="18"/>
        <v>1955.8465675217983</v>
      </c>
      <c r="K35" s="142"/>
      <c r="L35" s="96" t="s">
        <v>7</v>
      </c>
      <c r="M35" s="137">
        <v>42.5</v>
      </c>
      <c r="N35" s="141">
        <f t="shared" si="19"/>
        <v>0.70930000000000004</v>
      </c>
      <c r="O35" s="155">
        <f>(80-E35-E12)/(80-E12)</f>
        <v>0.60612691466083157</v>
      </c>
      <c r="P35" s="85">
        <f t="shared" si="20"/>
        <v>5.2396391310923406E-2</v>
      </c>
      <c r="Q35" s="77">
        <f>E35/2</f>
        <v>9</v>
      </c>
      <c r="R35" s="98">
        <f>(M35-E35)+Q35*(1-P35)</f>
        <v>33.028432478201687</v>
      </c>
      <c r="S35" s="77">
        <f>$S$15-R35</f>
        <v>1955.8465675217983</v>
      </c>
      <c r="T35" s="143"/>
      <c r="U35" s="32">
        <v>45</v>
      </c>
      <c r="V35" s="144">
        <v>-1.3231999999999999</v>
      </c>
      <c r="W35" s="145">
        <v>1.0699999999999999E-2</v>
      </c>
      <c r="X35" s="145">
        <v>4.7829999999999998E-2</v>
      </c>
      <c r="Y35" s="145">
        <v>-4.2380000000000001E-2</v>
      </c>
      <c r="Z35" s="34">
        <v>1.8753</v>
      </c>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row>
    <row r="36" spans="1:59" ht="15" customHeight="1">
      <c r="A36" s="154" t="s">
        <v>8</v>
      </c>
      <c r="B36" s="169"/>
      <c r="C36" s="169"/>
      <c r="D36" s="83">
        <v>0.68100000000000005</v>
      </c>
      <c r="E36" s="88">
        <v>17.5</v>
      </c>
      <c r="F36" s="85">
        <f>IF(D36&gt;0,V36+W36*E13+X36*E36+Y36*E36*D36+Z36*D36,0)</f>
        <v>0.65285064999999987</v>
      </c>
      <c r="G36" s="85">
        <f>'Model data'!D$32</f>
        <v>0.71020634999999999</v>
      </c>
      <c r="H36" s="74">
        <f>-0.5*LN(1+(F36/G36-1/'Model data'!$D$28)/(1-F36))</f>
        <v>0.82579509453986788</v>
      </c>
      <c r="I36" s="198">
        <f>1-(1+EXP(2*(H36+IF(Introduction!D$12="45q15",'Model data'!$C$24,'Model data'!$C$27))))/(1+EXP(2*(H36+'Model data'!$C$33)))</f>
        <v>0.49721320470437513</v>
      </c>
      <c r="J36" s="75">
        <f t="shared" si="18"/>
        <v>1950.4125347624436</v>
      </c>
      <c r="K36" s="142"/>
      <c r="L36" s="96" t="s">
        <v>8</v>
      </c>
      <c r="M36" s="137">
        <v>47.5</v>
      </c>
      <c r="N36" s="141">
        <f t="shared" si="19"/>
        <v>0.68100000000000005</v>
      </c>
      <c r="O36" s="155">
        <f>(80-E36-E13)/(80-E13)</f>
        <v>0.61706783369803064</v>
      </c>
      <c r="P36" s="85">
        <f t="shared" si="20"/>
        <v>3.2861115707822165E-2</v>
      </c>
      <c r="Q36" s="77">
        <f>E36/2</f>
        <v>8.75</v>
      </c>
      <c r="R36" s="98">
        <f>(M36-E36)+Q36*(1-P36)</f>
        <v>38.462465237556557</v>
      </c>
      <c r="S36" s="77">
        <f>$S$15-R36</f>
        <v>1950.4125347624436</v>
      </c>
      <c r="T36" s="143"/>
      <c r="U36" s="32">
        <v>50</v>
      </c>
      <c r="V36" s="144">
        <v>-1.3231999999999999</v>
      </c>
      <c r="W36" s="145">
        <v>1.0699999999999999E-2</v>
      </c>
      <c r="X36" s="145">
        <v>4.7829999999999998E-2</v>
      </c>
      <c r="Y36" s="145">
        <v>-4.2380000000000001E-2</v>
      </c>
      <c r="Z36" s="34">
        <v>1.8753</v>
      </c>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row>
    <row r="37" spans="1:59" ht="15" customHeight="1">
      <c r="A37" s="94"/>
      <c r="B37" s="94"/>
      <c r="C37" s="94"/>
      <c r="D37" s="94"/>
      <c r="E37" s="94"/>
      <c r="F37" s="110"/>
      <c r="G37" s="111"/>
      <c r="H37" s="111"/>
      <c r="I37" s="94"/>
      <c r="J37" s="94"/>
      <c r="K37" s="21"/>
      <c r="L37" s="115"/>
      <c r="M37" s="115"/>
      <c r="N37" s="115"/>
      <c r="O37" s="116"/>
      <c r="P37" s="95"/>
      <c r="Q37" s="95"/>
      <c r="R37" s="95"/>
      <c r="S37" s="94"/>
      <c r="T37" s="9"/>
      <c r="U37" s="95"/>
      <c r="V37" s="94"/>
      <c r="W37" s="94"/>
      <c r="X37" s="94"/>
      <c r="Y37" s="94"/>
      <c r="Z37" s="94"/>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row>
    <row r="38" spans="1:59" ht="15" customHeight="1">
      <c r="A38" s="86"/>
      <c r="B38" s="86"/>
      <c r="C38" s="86"/>
      <c r="D38" s="86"/>
      <c r="E38" s="86"/>
      <c r="F38" s="86"/>
      <c r="G38" s="23"/>
      <c r="H38" s="23"/>
      <c r="I38" s="86"/>
      <c r="J38" s="103"/>
      <c r="K38" s="86"/>
      <c r="L38" s="86"/>
      <c r="M38" s="1"/>
      <c r="N38" s="1"/>
      <c r="O38" s="9"/>
      <c r="P38" s="9"/>
      <c r="Q38" s="9"/>
      <c r="R38" s="1"/>
      <c r="S38" s="9"/>
      <c r="T38" s="9"/>
      <c r="U38" s="9"/>
      <c r="V38" s="9"/>
      <c r="W38" s="9"/>
      <c r="X38" s="9"/>
      <c r="Y38" s="9"/>
      <c r="Z38" s="9"/>
      <c r="AA38" s="9"/>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row>
    <row r="39" spans="1:59" ht="15" customHeight="1">
      <c r="A39" s="22" t="s">
        <v>151</v>
      </c>
      <c r="B39" s="25"/>
      <c r="C39" s="25"/>
      <c r="D39" s="25"/>
      <c r="E39" s="25"/>
      <c r="F39" s="207"/>
      <c r="K39" s="5"/>
      <c r="L39" s="5"/>
      <c r="M39" s="1"/>
      <c r="N39" s="1"/>
      <c r="O39" s="9"/>
      <c r="P39" s="9"/>
      <c r="Q39" s="9"/>
      <c r="R39" s="1"/>
      <c r="S39" s="9"/>
      <c r="T39" s="9"/>
      <c r="U39" s="9"/>
      <c r="V39" s="9"/>
      <c r="W39" s="9"/>
      <c r="X39" s="9"/>
      <c r="Y39" s="9"/>
      <c r="Z39" s="9"/>
      <c r="AA39" s="9"/>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row>
    <row r="40" spans="1:59" ht="15" customHeight="1">
      <c r="B40" s="211" t="s">
        <v>97</v>
      </c>
      <c r="C40" s="212">
        <f>'Maternal orphanhood'!$C$56</f>
        <v>26</v>
      </c>
      <c r="D40" s="210"/>
      <c r="E40" s="210"/>
      <c r="F40" s="207"/>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row>
    <row r="41" spans="1:59" ht="15" customHeight="1" thickBot="1">
      <c r="B41" s="213" t="s">
        <v>98</v>
      </c>
      <c r="C41" s="212">
        <v>8.3000000000000007</v>
      </c>
      <c r="D41" s="214"/>
      <c r="E41" s="214"/>
      <c r="F41" s="207"/>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row>
    <row r="42" spans="1:59" ht="15" customHeight="1" thickBot="1">
      <c r="B42" s="215" t="s">
        <v>99</v>
      </c>
      <c r="C42" s="209">
        <f>C40+C41</f>
        <v>34.299999999999997</v>
      </c>
      <c r="D42" s="210"/>
      <c r="E42" s="210"/>
      <c r="F42" s="216"/>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row>
    <row r="43" spans="1:59" ht="15" customHeight="1">
      <c r="B43" s="210"/>
      <c r="C43" s="210"/>
      <c r="D43" s="210"/>
      <c r="E43" s="210"/>
      <c r="F43" s="25"/>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row>
    <row r="44" spans="1:59" ht="15" customHeight="1">
      <c r="A44" s="22" t="s">
        <v>150</v>
      </c>
      <c r="B44" s="210"/>
      <c r="C44" s="210"/>
      <c r="D44" s="210"/>
      <c r="E44" s="210"/>
      <c r="F44" s="210"/>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row>
    <row r="45" spans="1:59" ht="15" customHeight="1">
      <c r="A45" s="254" t="s">
        <v>143</v>
      </c>
      <c r="B45" s="254" t="s">
        <v>100</v>
      </c>
      <c r="C45" s="254" t="s">
        <v>101</v>
      </c>
      <c r="D45" s="257" t="s">
        <v>102</v>
      </c>
      <c r="E45" s="257" t="s">
        <v>103</v>
      </c>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row>
    <row r="46" spans="1:59" ht="15" customHeight="1">
      <c r="A46" s="259" t="s">
        <v>142</v>
      </c>
      <c r="B46" s="260"/>
      <c r="C46" s="259"/>
      <c r="D46" s="258"/>
      <c r="E46" s="258"/>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row>
    <row r="47" spans="1:59" ht="15" customHeight="1">
      <c r="A47" s="246" t="s">
        <v>15</v>
      </c>
      <c r="B47" s="51"/>
      <c r="C47" s="51"/>
      <c r="D47" s="217" t="e">
        <f>SUM(B$47:B47)/B$62</f>
        <v>#DIV/0!</v>
      </c>
      <c r="E47" s="217" t="e">
        <f>SUM(C$47:C47)/C$62</f>
        <v>#DIV/0!</v>
      </c>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row>
    <row r="48" spans="1:59" ht="15" customHeight="1">
      <c r="A48" s="246" t="s">
        <v>2</v>
      </c>
      <c r="B48" s="51"/>
      <c r="C48" s="51"/>
      <c r="D48" s="217" t="e">
        <f>SUM(B$47:B48)/B$62</f>
        <v>#DIV/0!</v>
      </c>
      <c r="E48" s="217" t="e">
        <f>SUM(C$47:C48)/C$62</f>
        <v>#DIV/0!</v>
      </c>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row>
    <row r="49" spans="1:59" ht="15" customHeight="1">
      <c r="A49" s="246" t="s">
        <v>3</v>
      </c>
      <c r="B49" s="51"/>
      <c r="C49" s="51"/>
      <c r="D49" s="217" t="e">
        <f>SUM(B$47:B49)/B$62</f>
        <v>#DIV/0!</v>
      </c>
      <c r="E49" s="217" t="e">
        <f>SUM(C$47:C49)/C$62</f>
        <v>#DIV/0!</v>
      </c>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row>
    <row r="50" spans="1:59" ht="12.75">
      <c r="A50" s="246" t="s">
        <v>4</v>
      </c>
      <c r="B50" s="51"/>
      <c r="C50" s="51"/>
      <c r="D50" s="217" t="e">
        <f>SUM(B$47:B50)/B$62</f>
        <v>#DIV/0!</v>
      </c>
      <c r="E50" s="217" t="e">
        <f>SUM(C$47:C50)/C$62</f>
        <v>#DIV/0!</v>
      </c>
      <c r="K50" s="128"/>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row>
    <row r="51" spans="1:59" ht="12.75">
      <c r="A51" s="246" t="s">
        <v>5</v>
      </c>
      <c r="B51" s="51"/>
      <c r="C51" s="51"/>
      <c r="D51" s="217" t="e">
        <f>SUM(B$47:B51)/B$62</f>
        <v>#DIV/0!</v>
      </c>
      <c r="E51" s="217" t="e">
        <f>SUM(C$47:C51)/C$62</f>
        <v>#DIV/0!</v>
      </c>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row>
    <row r="52" spans="1:59" ht="12.75">
      <c r="A52" s="246" t="s">
        <v>6</v>
      </c>
      <c r="B52" s="51"/>
      <c r="C52" s="51"/>
      <c r="D52" s="217" t="e">
        <f>SUM(B$47:B52)/B$62</f>
        <v>#DIV/0!</v>
      </c>
      <c r="E52" s="217" t="e">
        <f>SUM(C$47:C52)/C$62</f>
        <v>#DIV/0!</v>
      </c>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row>
    <row r="53" spans="1:59" ht="12.75">
      <c r="A53" s="246" t="s">
        <v>7</v>
      </c>
      <c r="B53" s="51"/>
      <c r="C53" s="51"/>
      <c r="D53" s="217" t="e">
        <f>SUM(B$47:B53)/B$62</f>
        <v>#DIV/0!</v>
      </c>
      <c r="E53" s="217" t="e">
        <f>SUM(C$47:C53)/C$62</f>
        <v>#DIV/0!</v>
      </c>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row>
    <row r="54" spans="1:59" ht="12.75">
      <c r="A54" s="246" t="s">
        <v>8</v>
      </c>
      <c r="B54" s="51"/>
      <c r="C54" s="51"/>
      <c r="D54" s="217" t="e">
        <f>SUM(B$47:B54)/B$62</f>
        <v>#DIV/0!</v>
      </c>
      <c r="E54" s="217" t="e">
        <f>SUM(C$47:C54)/C$62</f>
        <v>#DIV/0!</v>
      </c>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row>
    <row r="55" spans="1:59" ht="12.75">
      <c r="A55" s="246" t="s">
        <v>10</v>
      </c>
      <c r="B55" s="51"/>
      <c r="C55" s="51"/>
      <c r="D55" s="217" t="e">
        <f>SUM(B$47:B55)/B$62</f>
        <v>#DIV/0!</v>
      </c>
      <c r="E55" s="217" t="e">
        <f>SUM(C$47:C55)/C$62</f>
        <v>#DIV/0!</v>
      </c>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row>
    <row r="56" spans="1:59" ht="12.75">
      <c r="A56" s="246" t="s">
        <v>144</v>
      </c>
      <c r="B56" s="51"/>
      <c r="C56" s="51"/>
      <c r="D56" s="217" t="e">
        <f>SUM(B$47:B56)/B$62</f>
        <v>#DIV/0!</v>
      </c>
      <c r="E56" s="217" t="e">
        <f>SUM(C$47:C56)/C$62</f>
        <v>#DIV/0!</v>
      </c>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row>
    <row r="57" spans="1:59" ht="12.75">
      <c r="A57" s="246" t="s">
        <v>145</v>
      </c>
      <c r="B57" s="51"/>
      <c r="C57" s="51"/>
      <c r="D57" s="217" t="e">
        <f>SUM(B$47:B57)/B$62</f>
        <v>#DIV/0!</v>
      </c>
      <c r="E57" s="217" t="e">
        <f>SUM(C$47:C57)/C$62</f>
        <v>#DIV/0!</v>
      </c>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row>
    <row r="58" spans="1:59" ht="12.75">
      <c r="A58" s="246" t="s">
        <v>146</v>
      </c>
      <c r="B58" s="51"/>
      <c r="C58" s="51"/>
      <c r="D58" s="217" t="e">
        <f>SUM(B$47:B58)/B$62</f>
        <v>#DIV/0!</v>
      </c>
      <c r="E58" s="217" t="e">
        <f>SUM(C$47:C58)/C$62</f>
        <v>#DIV/0!</v>
      </c>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row>
    <row r="59" spans="1:59" ht="12.75">
      <c r="A59" s="246" t="s">
        <v>147</v>
      </c>
      <c r="B59" s="51"/>
      <c r="C59" s="51"/>
      <c r="D59" s="217" t="e">
        <f>SUM(B$47:B59)/B$62</f>
        <v>#DIV/0!</v>
      </c>
      <c r="E59" s="217" t="e">
        <f>SUM(C$47:C59)/C$62</f>
        <v>#DIV/0!</v>
      </c>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row>
    <row r="60" spans="1:59" ht="12.75">
      <c r="A60" s="246" t="s">
        <v>148</v>
      </c>
      <c r="B60" s="51"/>
      <c r="C60" s="51"/>
      <c r="D60" s="217" t="e">
        <f>SUM(B$47:B60)/B$62</f>
        <v>#DIV/0!</v>
      </c>
      <c r="E60" s="217" t="e">
        <f>SUM(C$47:C60)/C$62</f>
        <v>#DIV/0!</v>
      </c>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row>
    <row r="61" spans="1:59" ht="12.75">
      <c r="A61" s="246" t="s">
        <v>149</v>
      </c>
      <c r="B61" s="51"/>
      <c r="C61" s="51"/>
      <c r="D61" s="217" t="e">
        <f>SUM(B$47:B61)/B$62</f>
        <v>#DIV/0!</v>
      </c>
      <c r="E61" s="217" t="e">
        <f>SUM(C$47:C61)/C$62</f>
        <v>#DIV/0!</v>
      </c>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row>
    <row r="62" spans="1:59" ht="12.75">
      <c r="A62" s="247" t="s">
        <v>41</v>
      </c>
      <c r="B62" s="218">
        <f>SUM(B47:B61)</f>
        <v>0</v>
      </c>
      <c r="C62" s="218">
        <f>SUM(C47:C61)</f>
        <v>0</v>
      </c>
      <c r="D62" s="219" t="e">
        <f ca="1">INDEX('Model data'!$A$23:$A$38,MATCH(0.5,D$47:D$61,1),1)+2.5+5*(0.5-OFFSET(D$47,MATCH(0.5,D$47:D$61,1)-1,0))/(OFFSET(D$47,MATCH(0.5,D$47:D$61,1),0)-OFFSET(D$47,MATCH(0.5,D$47:D$61,1)-1,0))</f>
        <v>#N/A</v>
      </c>
      <c r="E62" s="219" t="e">
        <f ca="1">INDEX('Model data'!$A$23:$A$38,MATCH(0.5,E$47:E$61,1),1)+2.5+5*(0.5-OFFSET(E$47,MATCH(0.5,E$47:E$61,1)-1,0))/(OFFSET(E$47,MATCH(0.5,E$47:E$61,1),0)-OFFSET(E$47,MATCH(0.5,E$47:E$61,1)-1,0))</f>
        <v>#N/A</v>
      </c>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row>
    <row r="63" spans="1:59" ht="12.7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row>
    <row r="64" spans="1:59" ht="12.7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row>
    <row r="65" spans="1:59" ht="12.7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row>
    <row r="66" spans="1:59" ht="12.7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row>
    <row r="67" spans="1:59" ht="12.7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row>
    <row r="68" spans="1:59" ht="12.7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row>
    <row r="69" spans="1:59" ht="12.7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row>
    <row r="70" spans="1:59" ht="12.7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row>
    <row r="71" spans="1:59" ht="12.7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row>
    <row r="72" spans="1:59" ht="12.7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row>
    <row r="73" spans="1:59" ht="12.7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row>
    <row r="74" spans="1:59" ht="12.7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row>
    <row r="75" spans="1:59" ht="12.7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row>
    <row r="76" spans="1:59" ht="12.7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row>
    <row r="77" spans="1:59" ht="12.7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row>
    <row r="78" spans="1:59" ht="12.7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row>
    <row r="79" spans="1:59" ht="12.7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row>
    <row r="80" spans="1:59" ht="12.7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row>
    <row r="81" spans="1:59" ht="12.7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row>
    <row r="82" spans="1:59" ht="12.7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row>
    <row r="83" spans="1:59" ht="12.7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row>
    <row r="84" spans="1:59" ht="12.7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row>
    <row r="85" spans="1:59" ht="12.7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row>
    <row r="86" spans="1:59" ht="12.7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row>
    <row r="87" spans="1:59" ht="12.7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row>
    <row r="88" spans="1:59" ht="12.7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c r="BG88" s="23"/>
    </row>
    <row r="89" spans="1:59" ht="12.7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c r="BG89" s="23"/>
    </row>
    <row r="90" spans="1:59" ht="12.7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row>
    <row r="91" spans="1:59" ht="12.7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row>
    <row r="92" spans="1:59" ht="12.7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row>
    <row r="93" spans="1:59" ht="12.7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row>
    <row r="94" spans="1:59" ht="12.7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row>
    <row r="95" spans="1:59" ht="12.7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row>
    <row r="96" spans="1:59" ht="12.7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row>
    <row r="97" spans="6:59" ht="12.75">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row>
    <row r="98" spans="6:59" ht="12.75">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row>
    <row r="99" spans="6:59" ht="12.75">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row>
    <row r="100" spans="6:59" ht="12.75">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row>
    <row r="101" spans="6:59" ht="12.75">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row>
    <row r="102" spans="6:59" ht="12.75">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c r="BG102" s="23"/>
    </row>
    <row r="103" spans="6:59" ht="12.75">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row>
    <row r="104" spans="6:59" ht="12.75">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row>
    <row r="105" spans="6:59" ht="12.75">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row>
    <row r="106" spans="6:59" ht="12.75">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row>
    <row r="107" spans="6:59" ht="12.75">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row>
    <row r="108" spans="6:59" ht="12.75">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row>
    <row r="109" spans="6:59" ht="12.75">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row>
    <row r="110" spans="6:59" ht="12.75">
      <c r="F110" s="23"/>
      <c r="G110" s="23"/>
      <c r="H110" s="23"/>
      <c r="I110" s="23"/>
      <c r="J110" s="23"/>
      <c r="K110" s="23"/>
      <c r="L110" s="23"/>
      <c r="M110" s="23"/>
      <c r="N110" s="23"/>
      <c r="O110" s="23"/>
      <c r="P110" s="23"/>
      <c r="Q110" s="23"/>
      <c r="R110" s="23"/>
      <c r="S110" s="23"/>
      <c r="T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row>
    <row r="111" spans="6:59" ht="12.75">
      <c r="F111" s="23"/>
      <c r="G111" s="23"/>
      <c r="H111" s="23"/>
      <c r="I111" s="23"/>
      <c r="J111" s="23"/>
      <c r="K111" s="23"/>
      <c r="L111" s="23"/>
      <c r="M111" s="23"/>
      <c r="N111" s="23"/>
      <c r="O111" s="23"/>
      <c r="P111" s="23"/>
      <c r="Q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row>
    <row r="112" spans="6:59" ht="12.75">
      <c r="K112" s="23"/>
      <c r="L112" s="23"/>
      <c r="M112" s="23"/>
      <c r="N112" s="23"/>
      <c r="O112" s="23"/>
      <c r="P112" s="23"/>
      <c r="Q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row>
    <row r="113" spans="11:59" ht="12.75">
      <c r="K113" s="23"/>
      <c r="L113" s="23"/>
      <c r="M113" s="23"/>
      <c r="N113" s="23"/>
      <c r="O113" s="23"/>
      <c r="P113" s="23"/>
      <c r="Q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row>
    <row r="114" spans="11:59" ht="12.75">
      <c r="L114" s="23"/>
      <c r="M114" s="23"/>
      <c r="N114" s="23"/>
      <c r="O114" s="23"/>
    </row>
  </sheetData>
  <sheetProtection sheet="1" objects="1" scenarios="1"/>
  <mergeCells count="13">
    <mergeCell ref="A45:A46"/>
    <mergeCell ref="B45:B46"/>
    <mergeCell ref="C45:C46"/>
    <mergeCell ref="D45:D46"/>
    <mergeCell ref="B16:B18"/>
    <mergeCell ref="C28:C30"/>
    <mergeCell ref="I16:I17"/>
    <mergeCell ref="I28:I29"/>
    <mergeCell ref="I2:I3"/>
    <mergeCell ref="E2:E4"/>
    <mergeCell ref="E45:E46"/>
    <mergeCell ref="E28:E30"/>
    <mergeCell ref="E16:E18"/>
  </mergeCells>
  <dataValidations count="1">
    <dataValidation type="decimal" operator="greaterThanOrEqual" allowBlank="1" showInputMessage="1" showErrorMessage="1" sqref="B47:C61 E23 B20:D23 B6:D13 B32:D36">
      <formula1>0</formula1>
    </dataValidation>
  </dataValidations>
  <pageMargins left="0.70866141732283472" right="0.70866141732283472" top="0.74803149606299213" bottom="0.74803149606299213" header="0.31496062992125984" footer="0.31496062992125984"/>
  <pageSetup paperSize="9" orientation="portrait" r:id="rId1"/>
  <headerFooter>
    <oddHeader>&amp;L&amp;"+,Bold"&amp;13Tools for Demographic Estimation&amp;R&amp;"+,Bold"&amp;13Orphanhood before &amp;&amp; since 1st marriage</oddHeader>
    <oddFooter>&amp;L&amp;"+,Regular"&amp;12&amp;F&amp;R&amp;"+,Regular"&amp;12&amp;D  &amp;T</oddFooter>
  </headerFooter>
  <rowBreaks count="1" manualBreakCount="1">
    <brk id="37" max="16383" man="1"/>
  </rowBreaks>
  <colBreaks count="2" manualBreakCount="2">
    <brk id="10" max="1048575" man="1"/>
    <brk id="19" max="1048575" man="1"/>
  </colBreaks>
  <legacyDrawing r:id="rId2"/>
</worksheet>
</file>

<file path=xl/worksheets/sheet5.xml><?xml version="1.0" encoding="utf-8"?>
<worksheet xmlns="http://schemas.openxmlformats.org/spreadsheetml/2006/main" xmlns:r="http://schemas.openxmlformats.org/officeDocument/2006/relationships">
  <sheetPr codeName="Sheet4">
    <tabColor theme="9" tint="0.59999389629810485"/>
    <pageSetUpPr fitToPage="1"/>
  </sheetPr>
  <dimension ref="A1:I40"/>
  <sheetViews>
    <sheetView showGridLines="0" showRowColHeaders="0" zoomScaleNormal="100" workbookViewId="0">
      <selection activeCell="B2" sqref="B2"/>
    </sheetView>
  </sheetViews>
  <sheetFormatPr defaultRowHeight="12"/>
  <sheetData>
    <row r="1" spans="1:9">
      <c r="A1" s="118"/>
      <c r="B1" s="118"/>
      <c r="C1" s="118"/>
      <c r="D1" s="118"/>
      <c r="E1" s="118"/>
      <c r="F1" s="118"/>
      <c r="G1" s="118"/>
      <c r="H1" s="118"/>
      <c r="I1" s="118"/>
    </row>
    <row r="2" spans="1:9">
      <c r="A2" s="118"/>
      <c r="B2" s="118"/>
      <c r="C2" s="118"/>
      <c r="D2" s="118"/>
      <c r="E2" s="118"/>
      <c r="F2" s="118"/>
      <c r="G2" s="118"/>
      <c r="H2" s="118"/>
      <c r="I2" s="118"/>
    </row>
    <row r="3" spans="1:9">
      <c r="A3" s="118"/>
      <c r="B3" s="118"/>
      <c r="C3" s="118"/>
      <c r="D3" s="118"/>
      <c r="E3" s="118"/>
      <c r="F3" s="118"/>
      <c r="G3" s="118"/>
      <c r="H3" s="118"/>
      <c r="I3" s="118"/>
    </row>
    <row r="4" spans="1:9">
      <c r="A4" s="118"/>
      <c r="B4" s="118"/>
      <c r="C4" s="118"/>
      <c r="D4" s="118"/>
      <c r="E4" s="118"/>
      <c r="F4" s="118"/>
      <c r="G4" s="118"/>
      <c r="H4" s="118"/>
      <c r="I4" s="118"/>
    </row>
    <row r="5" spans="1:9">
      <c r="A5" s="118"/>
      <c r="B5" s="118"/>
      <c r="C5" s="118"/>
      <c r="D5" s="118"/>
      <c r="E5" s="118"/>
      <c r="F5" s="118"/>
      <c r="G5" s="118"/>
      <c r="H5" s="118"/>
      <c r="I5" s="118"/>
    </row>
    <row r="6" spans="1:9">
      <c r="A6" s="118"/>
      <c r="B6" s="118"/>
      <c r="C6" s="118"/>
      <c r="D6" s="118"/>
      <c r="E6" s="118"/>
      <c r="F6" s="118"/>
      <c r="G6" s="118"/>
      <c r="H6" s="118"/>
      <c r="I6" s="118"/>
    </row>
    <row r="7" spans="1:9">
      <c r="A7" s="118"/>
      <c r="B7" s="118"/>
      <c r="C7" s="118"/>
      <c r="D7" s="118"/>
      <c r="E7" s="118"/>
      <c r="F7" s="118"/>
      <c r="G7" s="118"/>
      <c r="H7" s="118"/>
      <c r="I7" s="118"/>
    </row>
    <row r="8" spans="1:9">
      <c r="A8" s="118"/>
      <c r="B8" s="118"/>
      <c r="C8" s="118"/>
      <c r="D8" s="118"/>
      <c r="E8" s="118"/>
      <c r="F8" s="118"/>
      <c r="G8" s="118"/>
      <c r="H8" s="118"/>
      <c r="I8" s="118"/>
    </row>
    <row r="9" spans="1:9">
      <c r="A9" s="118"/>
      <c r="B9" s="118"/>
      <c r="C9" s="118"/>
      <c r="D9" s="118"/>
      <c r="E9" s="118"/>
      <c r="F9" s="118"/>
      <c r="G9" s="118"/>
      <c r="H9" s="118"/>
      <c r="I9" s="118"/>
    </row>
    <row r="10" spans="1:9">
      <c r="A10" s="118"/>
      <c r="B10" s="118"/>
      <c r="C10" s="118"/>
      <c r="D10" s="118"/>
      <c r="E10" s="118"/>
      <c r="F10" s="118"/>
      <c r="G10" s="118"/>
      <c r="H10" s="118"/>
      <c r="I10" s="118"/>
    </row>
    <row r="11" spans="1:9">
      <c r="A11" s="118"/>
      <c r="B11" s="118"/>
      <c r="C11" s="118"/>
      <c r="D11" s="118"/>
      <c r="E11" s="118"/>
      <c r="F11" s="118"/>
      <c r="G11" s="118"/>
      <c r="H11" s="118"/>
      <c r="I11" s="118"/>
    </row>
    <row r="12" spans="1:9">
      <c r="A12" s="118"/>
      <c r="B12" s="118"/>
      <c r="C12" s="118"/>
      <c r="D12" s="118"/>
      <c r="E12" s="118"/>
      <c r="F12" s="118"/>
      <c r="G12" s="118"/>
      <c r="H12" s="118"/>
      <c r="I12" s="118"/>
    </row>
    <row r="13" spans="1:9">
      <c r="A13" s="118"/>
      <c r="B13" s="118"/>
      <c r="C13" s="118"/>
      <c r="D13" s="118"/>
      <c r="E13" s="118"/>
      <c r="F13" s="118"/>
      <c r="G13" s="118"/>
      <c r="H13" s="118"/>
      <c r="I13" s="118"/>
    </row>
    <row r="14" spans="1:9">
      <c r="A14" s="118"/>
      <c r="B14" s="118"/>
      <c r="C14" s="118"/>
      <c r="D14" s="118"/>
      <c r="E14" s="118"/>
      <c r="F14" s="118"/>
      <c r="G14" s="118"/>
      <c r="H14" s="118"/>
      <c r="I14" s="118"/>
    </row>
    <row r="15" spans="1:9">
      <c r="A15" s="118"/>
      <c r="B15" s="118"/>
      <c r="C15" s="118"/>
      <c r="D15" s="118"/>
      <c r="E15" s="118"/>
      <c r="F15" s="118"/>
      <c r="G15" s="118"/>
      <c r="H15" s="118"/>
      <c r="I15" s="118"/>
    </row>
    <row r="16" spans="1:9">
      <c r="A16" s="118"/>
      <c r="B16" s="118"/>
      <c r="C16" s="118"/>
      <c r="D16" s="118"/>
      <c r="E16" s="118"/>
      <c r="F16" s="118"/>
      <c r="G16" s="118"/>
      <c r="H16" s="118"/>
      <c r="I16" s="118"/>
    </row>
    <row r="17" spans="1:9">
      <c r="A17" s="118"/>
      <c r="B17" s="118"/>
      <c r="C17" s="118"/>
      <c r="D17" s="118"/>
      <c r="E17" s="118"/>
      <c r="F17" s="118"/>
      <c r="G17" s="118"/>
      <c r="H17" s="118"/>
      <c r="I17" s="118"/>
    </row>
    <row r="18" spans="1:9">
      <c r="A18" s="118"/>
      <c r="B18" s="118"/>
      <c r="C18" s="118"/>
      <c r="D18" s="118"/>
      <c r="E18" s="118"/>
      <c r="F18" s="118"/>
      <c r="G18" s="118"/>
      <c r="H18" s="118"/>
      <c r="I18" s="118"/>
    </row>
    <row r="19" spans="1:9">
      <c r="A19" s="118"/>
      <c r="B19" s="118"/>
      <c r="C19" s="118"/>
      <c r="D19" s="118"/>
      <c r="E19" s="118"/>
      <c r="F19" s="118"/>
      <c r="G19" s="118"/>
      <c r="H19" s="118"/>
      <c r="I19" s="118"/>
    </row>
    <row r="20" spans="1:9">
      <c r="A20" s="118"/>
      <c r="B20" s="118"/>
      <c r="C20" s="118"/>
      <c r="D20" s="118"/>
      <c r="E20" s="118"/>
      <c r="F20" s="118"/>
      <c r="G20" s="118"/>
      <c r="H20" s="118"/>
      <c r="I20" s="118"/>
    </row>
    <row r="21" spans="1:9">
      <c r="A21" s="118"/>
      <c r="B21" s="118"/>
      <c r="C21" s="118"/>
      <c r="D21" s="118"/>
      <c r="E21" s="118"/>
      <c r="F21" s="118"/>
      <c r="G21" s="118"/>
      <c r="H21" s="118"/>
      <c r="I21" s="118"/>
    </row>
    <row r="22" spans="1:9">
      <c r="A22" s="118"/>
      <c r="B22" s="118"/>
      <c r="C22" s="118"/>
      <c r="D22" s="118"/>
      <c r="E22" s="118"/>
      <c r="F22" s="118"/>
      <c r="G22" s="118"/>
      <c r="H22" s="118"/>
      <c r="I22" s="118"/>
    </row>
    <row r="23" spans="1:9">
      <c r="A23" s="118"/>
      <c r="B23" s="118"/>
      <c r="C23" s="118"/>
      <c r="D23" s="118"/>
      <c r="E23" s="118"/>
      <c r="F23" s="118"/>
      <c r="G23" s="118"/>
      <c r="H23" s="118"/>
      <c r="I23" s="118"/>
    </row>
    <row r="24" spans="1:9">
      <c r="A24" s="118"/>
      <c r="B24" s="118"/>
      <c r="C24" s="118"/>
      <c r="D24" s="118"/>
      <c r="E24" s="118"/>
      <c r="F24" s="118"/>
      <c r="G24" s="118"/>
      <c r="H24" s="118"/>
      <c r="I24" s="118"/>
    </row>
    <row r="25" spans="1:9">
      <c r="A25" s="118"/>
      <c r="B25" s="118"/>
      <c r="C25" s="118"/>
      <c r="D25" s="118"/>
      <c r="E25" s="118"/>
      <c r="F25" s="118"/>
      <c r="G25" s="118"/>
      <c r="H25" s="118"/>
      <c r="I25" s="118"/>
    </row>
    <row r="26" spans="1:9">
      <c r="A26" s="118"/>
      <c r="B26" s="118"/>
      <c r="C26" s="118"/>
      <c r="D26" s="118"/>
      <c r="E26" s="118"/>
      <c r="F26" s="118"/>
      <c r="G26" s="118"/>
      <c r="H26" s="118"/>
      <c r="I26" s="118"/>
    </row>
    <row r="27" spans="1:9">
      <c r="A27" s="118"/>
      <c r="B27" s="118"/>
      <c r="C27" s="118"/>
      <c r="D27" s="118"/>
      <c r="E27" s="118"/>
      <c r="F27" s="118"/>
      <c r="G27" s="118"/>
      <c r="H27" s="118"/>
      <c r="I27" s="118"/>
    </row>
    <row r="28" spans="1:9">
      <c r="A28" s="118"/>
      <c r="B28" s="118"/>
      <c r="C28" s="118"/>
      <c r="D28" s="118"/>
      <c r="E28" s="118"/>
      <c r="F28" s="118"/>
      <c r="G28" s="118"/>
      <c r="H28" s="118"/>
      <c r="I28" s="118"/>
    </row>
    <row r="29" spans="1:9">
      <c r="A29" s="118"/>
      <c r="B29" s="118"/>
      <c r="C29" s="118"/>
      <c r="D29" s="118"/>
      <c r="E29" s="118"/>
      <c r="F29" s="118"/>
      <c r="G29" s="118"/>
      <c r="H29" s="118"/>
      <c r="I29" s="118"/>
    </row>
    <row r="30" spans="1:9">
      <c r="A30" s="118"/>
      <c r="B30" s="118"/>
      <c r="C30" s="118"/>
      <c r="D30" s="118"/>
      <c r="E30" s="118"/>
      <c r="F30" s="118"/>
      <c r="G30" s="118"/>
      <c r="H30" s="118"/>
      <c r="I30" s="118"/>
    </row>
    <row r="31" spans="1:9">
      <c r="A31" s="118"/>
      <c r="B31" s="118"/>
      <c r="C31" s="118"/>
      <c r="D31" s="118"/>
      <c r="E31" s="118"/>
      <c r="F31" s="118"/>
      <c r="G31" s="118"/>
      <c r="H31" s="118"/>
      <c r="I31" s="118"/>
    </row>
    <row r="32" spans="1:9">
      <c r="A32" s="118"/>
      <c r="B32" s="118"/>
      <c r="C32" s="118"/>
      <c r="D32" s="118"/>
      <c r="E32" s="118"/>
      <c r="F32" s="118"/>
      <c r="G32" s="118"/>
      <c r="H32" s="118"/>
      <c r="I32" s="118"/>
    </row>
    <row r="33" spans="1:9">
      <c r="A33" s="118"/>
      <c r="B33" s="118"/>
      <c r="C33" s="118"/>
      <c r="D33" s="118"/>
      <c r="E33" s="118"/>
      <c r="F33" s="118"/>
      <c r="G33" s="118"/>
      <c r="H33" s="118"/>
      <c r="I33" s="118"/>
    </row>
    <row r="34" spans="1:9">
      <c r="A34" s="118"/>
      <c r="B34" s="118"/>
      <c r="C34" s="118"/>
      <c r="D34" s="118"/>
      <c r="E34" s="118"/>
      <c r="F34" s="118"/>
      <c r="G34" s="118"/>
      <c r="H34" s="118"/>
      <c r="I34" s="118"/>
    </row>
    <row r="35" spans="1:9">
      <c r="A35" s="118"/>
      <c r="B35" s="118"/>
      <c r="C35" s="118"/>
      <c r="D35" s="118"/>
      <c r="E35" s="118"/>
      <c r="F35" s="118"/>
      <c r="G35" s="118"/>
      <c r="H35" s="118"/>
      <c r="I35" s="118"/>
    </row>
    <row r="36" spans="1:9">
      <c r="A36" s="118"/>
      <c r="B36" s="118"/>
      <c r="C36" s="118"/>
      <c r="D36" s="118"/>
      <c r="E36" s="118"/>
      <c r="F36" s="118"/>
      <c r="G36" s="118"/>
      <c r="H36" s="118"/>
      <c r="I36" s="118"/>
    </row>
    <row r="37" spans="1:9">
      <c r="A37" s="118"/>
      <c r="B37" s="118"/>
      <c r="C37" s="118"/>
      <c r="D37" s="118"/>
      <c r="E37" s="118"/>
      <c r="F37" s="118"/>
      <c r="G37" s="118"/>
      <c r="H37" s="118"/>
      <c r="I37" s="118"/>
    </row>
    <row r="38" spans="1:9">
      <c r="A38" s="118"/>
      <c r="B38" s="118"/>
      <c r="C38" s="118"/>
      <c r="D38" s="118"/>
      <c r="E38" s="118"/>
      <c r="F38" s="118"/>
      <c r="G38" s="118"/>
      <c r="H38" s="118"/>
      <c r="I38" s="118"/>
    </row>
    <row r="39" spans="1:9">
      <c r="A39" s="118"/>
      <c r="B39" s="118"/>
      <c r="C39" s="118"/>
      <c r="D39" s="118"/>
      <c r="E39" s="118"/>
      <c r="F39" s="118"/>
      <c r="G39" s="118"/>
      <c r="H39" s="118"/>
      <c r="I39" s="118"/>
    </row>
    <row r="40" spans="1:9">
      <c r="A40" s="118"/>
      <c r="B40" s="118"/>
      <c r="C40" s="118"/>
      <c r="D40" s="118"/>
      <c r="E40" s="118"/>
      <c r="F40" s="118"/>
      <c r="G40" s="118"/>
      <c r="H40" s="118"/>
      <c r="I40" s="118"/>
    </row>
  </sheetData>
  <sheetProtection sheet="1" objects="1" scenarios="1" selectLockedCells="1" selectUnlockedCells="1"/>
  <pageMargins left="0.70866141732283472" right="0.70866141732283472" top="0.98425196850393704" bottom="0.98425196850393704" header="0.31496062992125984" footer="0.31496062992125984"/>
  <pageSetup paperSize="9" scale="66" orientation="portrait" verticalDpi="0" r:id="rId1"/>
  <headerFooter>
    <oddHeader>&amp;L&amp;"+,Bold"&amp;13Tools for Demographic Estimation&amp;R&amp;"+,Bold"&amp;13Orphanhood before &amp;&amp; since 1st marriage</oddHeader>
    <oddFooter>&amp;L&amp;"+,Regular"&amp;12&amp;F&amp;R&amp;"+,Regular"&amp;12&amp;D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Introduction</vt:lpstr>
      <vt:lpstr>Model data</vt:lpstr>
      <vt:lpstr>Maternal orphanhood</vt:lpstr>
      <vt:lpstr>Paternal orphanhood</vt:lpstr>
      <vt:lpstr>Charts</vt:lpstr>
      <vt:lpstr>Date_of_survey</vt:lpstr>
      <vt:lpstr>MBAR</vt:lpstr>
      <vt:lpstr>MBAR_m</vt:lpstr>
      <vt:lpstr>SMAM</vt:lpstr>
      <vt:lpstr>'Maternal orphanhood'!TABLE</vt:lpstr>
      <vt:lpstr>'Maternal orphanhood'!TABLE_2</vt:lpstr>
      <vt:lpstr>'Maternal orphanhood'!TABLE_3</vt:lpstr>
      <vt:lpstr>'Maternal orphanhood'!TABLE_4</vt:lpstr>
    </vt:vector>
  </TitlesOfParts>
  <Company>London School of Hygiene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Cairo Demographic Center</dc:title>
  <dc:creator>Ian Timaeus</dc:creator>
  <cp:lastModifiedBy>Ian Timaeus</cp:lastModifiedBy>
  <cp:lastPrinted>2011-11-12T17:57:47Z</cp:lastPrinted>
  <dcterms:created xsi:type="dcterms:W3CDTF">1998-09-28T19:19:52Z</dcterms:created>
  <dcterms:modified xsi:type="dcterms:W3CDTF">2011-11-21T15:40:53Z</dcterms:modified>
</cp:coreProperties>
</file>